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6705" tabRatio="850" activeTab="0"/>
  </bookViews>
  <sheets>
    <sheet name="Branch ATM_1" sheetId="1" r:id="rId1"/>
    <sheet name="CD Ratio_2" sheetId="2" r:id="rId2"/>
    <sheet name="CD Ratio_3(i)" sheetId="3" r:id="rId3"/>
    <sheet name="CD Ratio_Dist_3(ii)" sheetId="4" r:id="rId4"/>
    <sheet name="OutstandingAgri_4" sheetId="5" r:id="rId5"/>
    <sheet name="MSMEoutstanding_5" sheetId="6" r:id="rId6"/>
    <sheet name="Pri Sec_outstanding_6" sheetId="7" r:id="rId7"/>
    <sheet name="Weaker Sec_7" sheetId="8" r:id="rId8"/>
    <sheet name="NPS_OS_8" sheetId="9" r:id="rId9"/>
    <sheet name="ACP_Agri_9(i)" sheetId="10" r:id="rId10"/>
    <sheet name="ACP_Agri_9(ii)" sheetId="11" r:id="rId11"/>
    <sheet name="ACP_MSME_10" sheetId="12" r:id="rId12"/>
    <sheet name="ACP_PS_11(i)" sheetId="13" r:id="rId13"/>
    <sheet name="ACP_PS_11(ii)" sheetId="14" r:id="rId14"/>
    <sheet name="ACP_NPS_12" sheetId="15" r:id="rId15"/>
    <sheet name="NPA_13" sheetId="16" r:id="rId16"/>
    <sheet name="NPA_PS_14" sheetId="17" r:id="rId17"/>
    <sheet name="NPA_NPS_15" sheetId="18" r:id="rId18"/>
    <sheet name="NPA_Govt. Sch16" sheetId="19" r:id="rId19"/>
    <sheet name="KCC_17" sheetId="20" r:id="rId20"/>
    <sheet name="Education Loan_18" sheetId="21" r:id="rId21"/>
    <sheet name="SHGs_19" sheetId="22" r:id="rId22"/>
    <sheet name="Restructured Acs_33" sheetId="23" state="hidden" r:id="rId23"/>
    <sheet name="Minority_OS_20" sheetId="24" r:id="rId24"/>
    <sheet name="Minority_Disb_21" sheetId="25" r:id="rId25"/>
    <sheet name="SCST_OS_22" sheetId="26" r:id="rId26"/>
    <sheet name="SCST_Disb_23" sheetId="27" r:id="rId27"/>
    <sheet name="Women_24" sheetId="28" r:id="rId28"/>
    <sheet name="Brick&amp; mortar_25" sheetId="29" r:id="rId29"/>
    <sheet name="CMRHM_26" sheetId="30" r:id="rId30"/>
    <sheet name="NRLM_27" sheetId="31" r:id="rId31"/>
    <sheet name="PMJDY_28" sheetId="32" r:id="rId32"/>
    <sheet name="SSS_29" sheetId="33" r:id="rId33"/>
    <sheet name="MUDRA_30" sheetId="34" r:id="rId34"/>
    <sheet name="Standup_31" sheetId="35" r:id="rId35"/>
  </sheets>
  <externalReferences>
    <externalReference r:id="rId38"/>
  </externalReferences>
  <definedNames>
    <definedName name="CompanyName">#REF!</definedName>
    <definedName name="CustomerLookup">'Branch ATM_1'!#REF!</definedName>
    <definedName name="Invoice_No">#REF!</definedName>
    <definedName name="InvoiceNoDetails">"InvoiceDetails[Invoice No]"</definedName>
    <definedName name="_xlnm.Print_Area" localSheetId="9">'ACP_Agri_9(i)'!$A$1:$L$59</definedName>
    <definedName name="_xlnm.Print_Area" localSheetId="10">'ACP_Agri_9(ii)'!$A$1:$Q$59</definedName>
    <definedName name="_xlnm.Print_Area" localSheetId="11">'ACP_MSME_10'!$A$1:$Q$59</definedName>
    <definedName name="_xlnm.Print_Area" localSheetId="13">'ACP_PS_11(ii)'!$A$1:$S$59</definedName>
    <definedName name="_xlnm.Print_Area" localSheetId="0">'Branch ATM_1'!$A$1:$G$63</definedName>
    <definedName name="_xlnm.Print_Area" localSheetId="1">'CD Ratio_2'!$A$1:$K$63</definedName>
    <definedName name="_xlnm.Print_Area" localSheetId="2">'CD Ratio_3(i)'!$A$1:$H$64</definedName>
    <definedName name="_xlnm.Print_Area" localSheetId="20">'Education Loan_18'!$A$1:$S$59</definedName>
    <definedName name="_xlnm.Print_Area" localSheetId="19">'KCC_17'!$A$1:$G$59</definedName>
    <definedName name="_xlnm.Print_Area" localSheetId="23">'Minority_OS_20'!$A$1:$P$59</definedName>
    <definedName name="_xlnm.Print_Area" localSheetId="5">'MSMEoutstanding_5'!$A$1:$N$59</definedName>
    <definedName name="_xlnm.Print_Area" localSheetId="15">'NPA_13'!$A$1:$I$59</definedName>
    <definedName name="_xlnm.Print_Area" localSheetId="18">'NPA_Govt. Sch16'!$A$1:$V$59</definedName>
    <definedName name="_xlnm.Print_Area" localSheetId="17">'NPA_NPS_15'!$A$1:$L$59</definedName>
    <definedName name="_xlnm.Print_Area" localSheetId="16">'NPA_PS_14'!$A$1:$O$59</definedName>
    <definedName name="_xlnm.Print_Area" localSheetId="8">'NPS_OS_8'!$A$1:$V$59</definedName>
    <definedName name="_xlnm.Print_Area" localSheetId="4">'OutstandingAgri_4'!$A$1:$M$59</definedName>
    <definedName name="_xlnm.Print_Area" localSheetId="6">'Pri Sec_outstanding_6'!$A$1:$Q$59</definedName>
    <definedName name="_xlnm.Print_Area" localSheetId="25">'SCST_OS_22'!$A$1:$F$59</definedName>
    <definedName name="_xlnm.Print_Area" localSheetId="21">'SHGs_19'!$A$1:$J$59</definedName>
    <definedName name="_xlnm.Print_Area" localSheetId="7">'Weaker Sec_7'!$A$1:$R$59</definedName>
    <definedName name="_xlnm.Print_Titles" localSheetId="0">'Branch ATM_1'!$3:$3</definedName>
    <definedName name="rngInvoice">#REF!</definedName>
  </definedNames>
  <calcPr fullCalcOnLoad="1"/>
</workbook>
</file>

<file path=xl/sharedStrings.xml><?xml version="1.0" encoding="utf-8"?>
<sst xmlns="http://schemas.openxmlformats.org/spreadsheetml/2006/main" count="2599" uniqueCount="604">
  <si>
    <t>TOTAL</t>
  </si>
  <si>
    <t>Total</t>
  </si>
  <si>
    <t>Sl.No.</t>
  </si>
  <si>
    <t>BANKS</t>
  </si>
  <si>
    <t>RURAL</t>
  </si>
  <si>
    <t>SEMI URBAN</t>
  </si>
  <si>
    <t>URBAN</t>
  </si>
  <si>
    <t>ATMS</t>
  </si>
  <si>
    <t>DEPOSIT</t>
  </si>
  <si>
    <t>ADVANCES</t>
  </si>
  <si>
    <t>C.D RATIO</t>
  </si>
  <si>
    <t>SEMI-URBAN</t>
  </si>
  <si>
    <t>[Amt. in lacs]</t>
  </si>
  <si>
    <t>TOTAL ADVANCES</t>
  </si>
  <si>
    <t>DEPOSITS</t>
  </si>
  <si>
    <t>TABLE-2</t>
  </si>
  <si>
    <t>A/C</t>
  </si>
  <si>
    <t>Amt.</t>
  </si>
  <si>
    <t>AGRICULTURE</t>
  </si>
  <si>
    <t>HOUSING</t>
  </si>
  <si>
    <t>EDUCATION</t>
  </si>
  <si>
    <t>TARGET</t>
  </si>
  <si>
    <t>NO.</t>
  </si>
  <si>
    <t>AMT.</t>
  </si>
  <si>
    <t>MSME</t>
  </si>
  <si>
    <t>AMOUNT DISB.</t>
  </si>
  <si>
    <t>SIKHS</t>
  </si>
  <si>
    <t>CHRISTIANS</t>
  </si>
  <si>
    <t>BUDDHISTS</t>
  </si>
  <si>
    <t>JAINS</t>
  </si>
  <si>
    <t>No.</t>
  </si>
  <si>
    <t xml:space="preserve">TARGET </t>
  </si>
  <si>
    <r>
      <t xml:space="preserve">SLBC Madhya Pradesh. Convenor-Central Bank of India                                                              </t>
    </r>
    <r>
      <rPr>
        <b/>
        <sz val="12"/>
        <rFont val="Times New Roman"/>
        <family val="1"/>
      </rPr>
      <t xml:space="preserve"> </t>
    </r>
  </si>
  <si>
    <t>Farm Credit</t>
  </si>
  <si>
    <t>Total Agri</t>
  </si>
  <si>
    <t>EXPORT CREDIT</t>
  </si>
  <si>
    <t>SOCIAL INFRASTRUCTURE</t>
  </si>
  <si>
    <t>RENEWABLE ENERGY</t>
  </si>
  <si>
    <t>TOTAL NPS</t>
  </si>
  <si>
    <t>OTHERS PS</t>
  </si>
  <si>
    <t>TOTAL NPA</t>
  </si>
  <si>
    <t>CMRHM TOTAL O/S</t>
  </si>
  <si>
    <t>PMEGP TOTAL O/S</t>
  </si>
  <si>
    <t>MMSY/MMYUY/MMAKY TOTAL O/S</t>
  </si>
  <si>
    <t>FARM CREDIT</t>
  </si>
  <si>
    <t>TABLE-13</t>
  </si>
  <si>
    <t>TOTAL NO. OF CARD AS ON DATE</t>
  </si>
  <si>
    <t>OUTSTANDING</t>
  </si>
  <si>
    <t>CMPGB</t>
  </si>
  <si>
    <t>Axis Bank</t>
  </si>
  <si>
    <t>Corporation Bank</t>
  </si>
  <si>
    <t>Dena Bank</t>
  </si>
  <si>
    <t>Vijaya Bank</t>
  </si>
  <si>
    <t>City Union Bank</t>
  </si>
  <si>
    <t>NJGB</t>
  </si>
  <si>
    <t>OTHERS</t>
  </si>
  <si>
    <t>TOTAL PRIORITY SECTOR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</si>
  <si>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</si>
  <si>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</si>
  <si>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</si>
  <si>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</si>
  <si>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</si>
  <si>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</si>
  <si>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</si>
  <si>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</si>
  <si>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</si>
  <si>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</si>
  <si>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Syndicate Bank</t>
  </si>
  <si>
    <t>Union Bank of India</t>
  </si>
  <si>
    <t>United Bank of India</t>
  </si>
  <si>
    <t>Bharatiya Mahila Bank</t>
  </si>
  <si>
    <t>S.B. of Hyderabad</t>
  </si>
  <si>
    <t>State Bank of India</t>
  </si>
  <si>
    <t>HDFC Bank</t>
  </si>
  <si>
    <t>ICICI Bank</t>
  </si>
  <si>
    <t>Kotak Mahindra Bank</t>
  </si>
  <si>
    <t>The Federal Bank Ltd.</t>
  </si>
  <si>
    <t>Ratnakar Bank</t>
  </si>
  <si>
    <t>Yes Bank</t>
  </si>
  <si>
    <t>Standard Chartered Bank</t>
  </si>
  <si>
    <t>Citi Bank</t>
  </si>
  <si>
    <t>M.P.Co-operative Bank</t>
  </si>
  <si>
    <t>Uco Bank</t>
  </si>
  <si>
    <t>IDBI Bank</t>
  </si>
  <si>
    <t>Oriental Bank of Commerce</t>
  </si>
  <si>
    <t>Punjab &amp; Sind Bank</t>
  </si>
  <si>
    <t>S.B.of Mysore</t>
  </si>
  <si>
    <t>S.B.of Patiala</t>
  </si>
  <si>
    <t>S.B.of Travancore</t>
  </si>
  <si>
    <t>S.B. of Bikaner &amp; Jaipur</t>
  </si>
  <si>
    <t>Karnataka Bank Ltd</t>
  </si>
  <si>
    <t>Dhan Laxmi Bank Ltd.</t>
  </si>
  <si>
    <t>Indusind Bank Ltd.</t>
  </si>
  <si>
    <t>Laxmi Vilas Bank Ltd.</t>
  </si>
  <si>
    <t xml:space="preserve">The Jammu &amp; Kashmir Bank </t>
  </si>
  <si>
    <t>Karur Vysya Bank</t>
  </si>
  <si>
    <t>The South Indian Bank</t>
  </si>
  <si>
    <t>DCB Bank</t>
  </si>
  <si>
    <t xml:space="preserve">M G B </t>
  </si>
  <si>
    <t>NPA%</t>
  </si>
  <si>
    <t>SLBC Madhya Pradesh Convenor: Central Bank of India    TABLE: 1</t>
  </si>
  <si>
    <t>Amount</t>
  </si>
  <si>
    <t>Banks</t>
  </si>
  <si>
    <t>RELIEF MEASURES EXTENDED BY BANKS ON ACCOUNT OF NATURAL CALAMITIES IN MADHYA PRADESH</t>
  </si>
  <si>
    <t>Year 2014-15</t>
  </si>
  <si>
    <t>Amt. In Crore</t>
  </si>
  <si>
    <t>S.No.</t>
  </si>
  <si>
    <t>Name of Bank</t>
  </si>
  <si>
    <t>Amt. Restructure / Rescheduled</t>
  </si>
  <si>
    <t>Fresh Finance / Relending provided</t>
  </si>
  <si>
    <t>No. of A/c</t>
  </si>
  <si>
    <t>Bandan Bank</t>
  </si>
  <si>
    <t xml:space="preserve">TOTAL </t>
  </si>
  <si>
    <t>TABLE: 33</t>
  </si>
  <si>
    <t>TOTAL PS NPA</t>
  </si>
  <si>
    <t>MMSY/MMYUY/MMAKY [NPA]</t>
  </si>
  <si>
    <t>PMEGP [NPA]</t>
  </si>
  <si>
    <t>CMRHM [NPA]</t>
  </si>
  <si>
    <t>NPA % OF PS ADV.</t>
  </si>
  <si>
    <t xml:space="preserve">                                                                 SLBC Madhya Pradesh. Convenor-Central Bank of India                                                               </t>
  </si>
  <si>
    <t>NPA %</t>
  </si>
  <si>
    <t>Year 2015-16 (31.03.2016)</t>
  </si>
  <si>
    <t>Bank wise Position of Branches/ATM as on 30th June 2016</t>
  </si>
  <si>
    <t>BANKWISE TOTAL DEPOSITS, ADVANCES AND C.D.RATIO  As on 30.06.2016</t>
  </si>
  <si>
    <t>Sr.</t>
  </si>
  <si>
    <t>Achievement %</t>
  </si>
  <si>
    <t>Agri Infrastructure</t>
  </si>
  <si>
    <t>Ancillary Activities</t>
  </si>
  <si>
    <t>Number</t>
  </si>
  <si>
    <t>TABLE: 4</t>
  </si>
  <si>
    <t>AGRICULTURE OUTSTANDING AS ON 30.06.2016</t>
  </si>
  <si>
    <t>Outstanding upto the end of current quarter 30.06.2016</t>
  </si>
  <si>
    <t>Out of Farm Credit total Crop Loans</t>
  </si>
  <si>
    <t>Micro</t>
  </si>
  <si>
    <t>Small</t>
  </si>
  <si>
    <t>Medium</t>
  </si>
  <si>
    <t>KVIC</t>
  </si>
  <si>
    <t>Others</t>
  </si>
  <si>
    <t>MSME  OUTSTANDING AS ON 30.06.2016</t>
  </si>
  <si>
    <t>Other MSME</t>
  </si>
  <si>
    <t>TABLE:5</t>
  </si>
  <si>
    <t>Amt. in Lakhs</t>
  </si>
  <si>
    <t>Export Credit</t>
  </si>
  <si>
    <t>Education</t>
  </si>
  <si>
    <t>Housing</t>
  </si>
  <si>
    <t>Social Infra</t>
  </si>
  <si>
    <t>Renewable Energy</t>
  </si>
  <si>
    <t>Total Priority Sector</t>
  </si>
  <si>
    <t>PRIORITY SECTOR  OUTSTANDING AS ON 30.06.2016</t>
  </si>
  <si>
    <t>Manufacturing</t>
  </si>
  <si>
    <t>Service</t>
  </si>
  <si>
    <t>Hints</t>
  </si>
  <si>
    <t>25 lakh</t>
  </si>
  <si>
    <t>10 Lakh</t>
  </si>
  <si>
    <t>25K-5 crore</t>
  </si>
  <si>
    <t>10K-2 crore</t>
  </si>
  <si>
    <t>5 cr to 10 cr</t>
  </si>
  <si>
    <t>10 cr to 5 cr</t>
  </si>
  <si>
    <t>Sector</t>
  </si>
  <si>
    <t>TABLE:6</t>
  </si>
  <si>
    <t>Number in Actual</t>
  </si>
  <si>
    <t>No. in actual</t>
  </si>
  <si>
    <t>ADVANCES TO WEAKER SECTION OUTSTANDING AS ON 30.06.2016</t>
  </si>
  <si>
    <t>TABLE:7</t>
  </si>
  <si>
    <t>Loans to small &amp; marginal farmers</t>
  </si>
  <si>
    <t>Loans to SC/ST</t>
  </si>
  <si>
    <t>Loans to SHGs</t>
  </si>
  <si>
    <t>Loans to Minority Communities</t>
  </si>
  <si>
    <t>OD under PMJDY</t>
  </si>
  <si>
    <t>Beneficiaries of DRI scheme</t>
  </si>
  <si>
    <t>Total advances to weaker sections</t>
  </si>
  <si>
    <t>% of Total Pri Sec loans to total advances</t>
  </si>
  <si>
    <t>Agriculture</t>
  </si>
  <si>
    <t>Personal loans under NPS</t>
  </si>
  <si>
    <t>Total NPS</t>
  </si>
  <si>
    <t>Total MSME</t>
  </si>
  <si>
    <t>ANNUAL CREDIT PLAN ACHIEVEMENT UNDER AGRICULTURE AS ON 30.06.2016</t>
  </si>
  <si>
    <t>TABLE:10</t>
  </si>
  <si>
    <t>Achievement % (Amt.)</t>
  </si>
  <si>
    <t>ANNUAL CREDIT PLAN ACHIEVEMENT UNDER PRIORITY SECTOR AS ON 30.06.2016</t>
  </si>
  <si>
    <t>TARGET MSME FY 2016-17</t>
  </si>
  <si>
    <t>ACHIVEMENT</t>
  </si>
  <si>
    <t>AGRI INFRASTRUCTURE</t>
  </si>
  <si>
    <t>ANICILLARY ACTIVITIES</t>
  </si>
  <si>
    <t>TOTAL AGRICULTURE (Farm Credit+Agri Infr+Anci Acti)</t>
  </si>
  <si>
    <t>TABLE: 9(ii)</t>
  </si>
  <si>
    <t>Table: 9(i)</t>
  </si>
  <si>
    <t>Disbursement upto the end of current quarter 30.06.2016</t>
  </si>
  <si>
    <t>TABLE:11(ii)</t>
  </si>
  <si>
    <t>TABLE:12</t>
  </si>
  <si>
    <t>ANNUAL CREDIT PLAN ACHIEVEMENT UNDER MSME (PRI SEC) AS ON 30.06.2016</t>
  </si>
  <si>
    <t>ANNUAL CREDIT PLAN ACHIEVEMENT UNDER NON-PRIORITY SECTOR AS ON 30.06.2016</t>
  </si>
  <si>
    <t>POSITION OF NPA AS ON 30.06.2016</t>
  </si>
  <si>
    <t>Sr.No</t>
  </si>
  <si>
    <t>POSITION OF SECTOR WISE NPA (PRIORITY SECTOR) As on 30.06.2016</t>
  </si>
  <si>
    <t>TABLE-14</t>
  </si>
  <si>
    <t>TABLE: 15</t>
  </si>
  <si>
    <t>POSITION OF SECTOR WISE NPA (NON PRIORITY SECTOR) As on 30.06.2016</t>
  </si>
  <si>
    <t xml:space="preserve">                                             SLBC Madhya Pradesh. Convenor Central Bank of India                                                               </t>
  </si>
  <si>
    <t>TABLE-16</t>
  </si>
  <si>
    <t>POSITION OF NPA UNDER GOVT. SPONSORED SCHEME As on30.06.2016</t>
  </si>
  <si>
    <t>SHGs NPA</t>
  </si>
  <si>
    <t>SHGs OUTSTANDING</t>
  </si>
  <si>
    <t>TABLE:17</t>
  </si>
  <si>
    <t>PROGRESS UNDER KISAN CREDIT CARD (As on 30.06.2016)</t>
  </si>
  <si>
    <t>Table: 3(i)</t>
  </si>
  <si>
    <t>To be filled by only Lead Banks of concerned Districts</t>
  </si>
  <si>
    <t>DISTRICTS</t>
  </si>
  <si>
    <t>DISTRICT WISE TOTAL DEPOSITS, ADVANCES AND C.D.RATIO  As on 30.06.2016</t>
  </si>
  <si>
    <t>POSITION SHG BANK LINKAGE PROGRAMME AS ON 30.06.2016</t>
  </si>
  <si>
    <t>TABLE-19</t>
  </si>
  <si>
    <t>MUSLIMS</t>
  </si>
  <si>
    <t>ZORASTRIANS</t>
  </si>
  <si>
    <t>TABLE-20</t>
  </si>
  <si>
    <t>LOANS OUTSTANDING TO MINORITY COMMUNITIES AS ON 30.06.2016</t>
  </si>
  <si>
    <t>TABLE-21</t>
  </si>
  <si>
    <t>LOANS DISBURSED TO MINORITY COMMUNITIES 01.04.16 TO 30.06.16</t>
  </si>
  <si>
    <t>LOANS OUTSTANDING TO SC/ST AS ON 30.06.2016</t>
  </si>
  <si>
    <t>SCHEDULED CASTE</t>
  </si>
  <si>
    <t>SCHEDULED TRIBES</t>
  </si>
  <si>
    <t>Table: 22</t>
  </si>
  <si>
    <t>Table: 23</t>
  </si>
  <si>
    <t>LOANS DISBURSED TO SC/ST 01.04.16 TO 30.06.16</t>
  </si>
  <si>
    <t>of which no of loans guaranteed by  MP STATE GOVT</t>
  </si>
  <si>
    <t>A/c  </t>
  </si>
  <si>
    <t>Amount  </t>
  </si>
  <si>
    <t>A/C  </t>
  </si>
  <si>
    <t>PROGRESS UNDER EDUCATION LOANS AS ON 30.06.2016</t>
  </si>
  <si>
    <r>
      <t>of which girl student</t>
    </r>
    <r>
      <rPr>
        <sz val="11"/>
        <rFont val="Times New Roman"/>
        <family val="1"/>
      </rPr>
      <t> </t>
    </r>
  </si>
  <si>
    <r>
      <t>of which Girl student</t>
    </r>
    <r>
      <rPr>
        <sz val="11"/>
        <rFont val="Times New Roman"/>
        <family val="1"/>
      </rPr>
      <t xml:space="preserve"> (out of 8 column)</t>
    </r>
  </si>
  <si>
    <r>
      <t>of Which Girl Student</t>
    </r>
    <r>
      <rPr>
        <sz val="11"/>
        <rFont val="Times New Roman"/>
        <family val="1"/>
      </rPr>
      <t> </t>
    </r>
  </si>
  <si>
    <r>
      <t> </t>
    </r>
    <r>
      <rPr>
        <sz val="11"/>
        <rFont val="Times New Roman"/>
        <family val="1"/>
      </rPr>
      <t xml:space="preserve">     </t>
    </r>
  </si>
  <si>
    <t>TABLE: 18</t>
  </si>
  <si>
    <t xml:space="preserve">Sr. No. </t>
  </si>
  <si>
    <t>APPLICATION RECEIVED DURING FY 2016-17</t>
  </si>
  <si>
    <t>Loan Disbursed</t>
  </si>
  <si>
    <t xml:space="preserve">Education Loan Outstanding </t>
  </si>
  <si>
    <t>Table: 24</t>
  </si>
  <si>
    <t>OUTSTANDING LOANS TO WOMEN</t>
  </si>
  <si>
    <t>LOANS DISBURSED TO WOMEN 01.04.16 TO 30.06.16</t>
  </si>
  <si>
    <t>Individual woman beneficiary upto Rs. 1 Lakh (out of total loans to women)</t>
  </si>
  <si>
    <t>ADVANCES TO WOMEN AS ON 30.06.2016</t>
  </si>
  <si>
    <t>ST</t>
  </si>
  <si>
    <t>TABLE: 3(i)</t>
  </si>
  <si>
    <t>Other loans to weaker sections</t>
  </si>
  <si>
    <t>CROP LOANS (Out of Farm Credit)</t>
  </si>
  <si>
    <t>NO. OF CARD ISSUED DURING 01.04.16 to 30.06.16</t>
  </si>
  <si>
    <t>Oriental Bank of Comm.</t>
  </si>
  <si>
    <t>Punjab and Sindh Bank</t>
  </si>
  <si>
    <t>S.B. of Mysore</t>
  </si>
  <si>
    <t>S.B. of Patiala</t>
  </si>
  <si>
    <t>S.B. of Travancore</t>
  </si>
  <si>
    <t>S.B.B. of Jaipur</t>
  </si>
  <si>
    <t>UCO Bank</t>
  </si>
  <si>
    <t>SUB TOTAL PSBs</t>
  </si>
  <si>
    <t>Bandhan Bank</t>
  </si>
  <si>
    <t>Catholic Syrian Bank</t>
  </si>
  <si>
    <t>Development Credit Bank</t>
  </si>
  <si>
    <t>Dhan Lakshmi Bank</t>
  </si>
  <si>
    <t>Federal Bank Ltd.</t>
  </si>
  <si>
    <t>IDFC</t>
  </si>
  <si>
    <t>Indusind Bank Limited</t>
  </si>
  <si>
    <t>Jammu and Kashmir Bank</t>
  </si>
  <si>
    <t>Karnataka Bank Limited</t>
  </si>
  <si>
    <t>Karur Vysya Bank Ltd.</t>
  </si>
  <si>
    <t>Lakshmi Vilas Bank</t>
  </si>
  <si>
    <t>Ratnakar Bank Ltd. (RBL)</t>
  </si>
  <si>
    <t>South Indian Bank</t>
  </si>
  <si>
    <t>Tamilnadu Mercantile Bank</t>
  </si>
  <si>
    <t>MGB</t>
  </si>
  <si>
    <t>SUB TOTAL RRBs</t>
  </si>
  <si>
    <t>M.P.S.A.R.D.B.</t>
  </si>
  <si>
    <t>SR</t>
  </si>
  <si>
    <t>N.B: MPSRDB (MP State Agriculture Rural Development Bank) is closed now by the GoMP</t>
  </si>
  <si>
    <t>SUB TOTAL PVT. BANKS</t>
  </si>
  <si>
    <t>SUB TOTAL DCCBs</t>
  </si>
  <si>
    <t>GRAND TOTAL</t>
  </si>
  <si>
    <t>M.P.Co-op Bank/DCCBs</t>
  </si>
  <si>
    <t>PREVIOUS QUARTER 31.03.16</t>
  </si>
  <si>
    <t>CURRENT QUARTER 30.06.16</t>
  </si>
  <si>
    <t>Catholic Serian Bank</t>
  </si>
  <si>
    <t xml:space="preserve">Jammu &amp; Kashmir Bank </t>
  </si>
  <si>
    <t>TamilNadu Mercantile bank</t>
  </si>
  <si>
    <t>SUB TOTAL PVT.BANKS</t>
  </si>
  <si>
    <t>SUB TOTAL CO-OPERATIVE</t>
  </si>
  <si>
    <t xml:space="preserve">GRAND TOTAL </t>
  </si>
  <si>
    <t>Oriental Bank of Comm</t>
  </si>
  <si>
    <t>SLBC, Madhya Pradesh Convenor-Central Bank of India</t>
  </si>
  <si>
    <t>SLBC, Madhya Pradesh  Convenor: Central Bank of India</t>
  </si>
  <si>
    <t>Bhartiya Mahila Bank</t>
  </si>
  <si>
    <t>IDBI</t>
  </si>
  <si>
    <t>Oriental Bank Of Commerce</t>
  </si>
  <si>
    <t>Punjab &amp; Sindh Bank</t>
  </si>
  <si>
    <t>SUB-TOTAL PSBs</t>
  </si>
  <si>
    <t>S.B.Hyderabad</t>
  </si>
  <si>
    <t>S.B.Mysore</t>
  </si>
  <si>
    <t>S.B.Patiala</t>
  </si>
  <si>
    <t>S.B.Travancore</t>
  </si>
  <si>
    <t>S.B.B.Jaipur</t>
  </si>
  <si>
    <t>SUB TOTAL SBI GROUP</t>
  </si>
  <si>
    <t>DCB</t>
  </si>
  <si>
    <t>Dhanlaxmi Bank</t>
  </si>
  <si>
    <t>Federal Bank</t>
  </si>
  <si>
    <t>HDFC</t>
  </si>
  <si>
    <t>ICICI</t>
  </si>
  <si>
    <t>Indusind Bank</t>
  </si>
  <si>
    <t>J&amp;K Bank Ltd.</t>
  </si>
  <si>
    <t>Karnataka Bank Ltd.</t>
  </si>
  <si>
    <t>Kotak Mahindra</t>
  </si>
  <si>
    <t>Laxmi Vilas Bank</t>
  </si>
  <si>
    <t>South India Bank</t>
  </si>
  <si>
    <t>Ratnakar Bank Ltd.</t>
  </si>
  <si>
    <t>DCCBs</t>
  </si>
  <si>
    <t>Ahhahabad Bank</t>
  </si>
  <si>
    <t>Amt</t>
  </si>
  <si>
    <t>No</t>
  </si>
  <si>
    <t>Oriental Bank Of Comm.</t>
  </si>
  <si>
    <t>Total advances</t>
  </si>
  <si>
    <t>NON-PRIORITY SECTOR  OUTSTANDING AS ON 30.06.2016   Table:8</t>
  </si>
  <si>
    <t>Achievement upto the end of the current quarter (%) (Amt in Lakhs)</t>
  </si>
  <si>
    <t>PS</t>
  </si>
  <si>
    <t>Actual</t>
  </si>
  <si>
    <t>Diff</t>
  </si>
  <si>
    <t>% of Agri adv. to total advance</t>
  </si>
  <si>
    <t>% of MSME adv. to total advance</t>
  </si>
  <si>
    <t>% of loans to weaker sections to total advance</t>
  </si>
  <si>
    <t>CENTRE WISE INFORMATION REGARDING DEPOSITS, ADVANCES AND C.D.RATIO  30.06.2016</t>
  </si>
  <si>
    <t>Dep</t>
  </si>
  <si>
    <t>Adv</t>
  </si>
  <si>
    <t>Diff Dep</t>
  </si>
  <si>
    <t>Diff Adv</t>
  </si>
  <si>
    <t xml:space="preserve">Growth in advances </t>
  </si>
  <si>
    <t>Growth in deposits</t>
  </si>
  <si>
    <t xml:space="preserve"> </t>
  </si>
  <si>
    <t>TABLE: 11(i)</t>
  </si>
  <si>
    <t>Sr</t>
  </si>
  <si>
    <t>Bank</t>
  </si>
  <si>
    <t>Target</t>
  </si>
  <si>
    <t>Oriental Bank Of Comm</t>
  </si>
  <si>
    <t>0me of the Bank</t>
  </si>
  <si>
    <t xml:space="preserve">TARGET for FY   2016-17 </t>
  </si>
  <si>
    <t>Savings Linked</t>
  </si>
  <si>
    <t>Credit Linked</t>
  </si>
  <si>
    <t>Current FY</t>
  </si>
  <si>
    <t>MPSRDB</t>
  </si>
  <si>
    <t>Sanctioned including previous year</t>
  </si>
  <si>
    <t>Satement of Progress during the quarter ended 30th June 2016</t>
  </si>
  <si>
    <t>Annex B</t>
  </si>
  <si>
    <t>Name of SLBC Convenor Bank : Central Bank of India</t>
  </si>
  <si>
    <t>Name of State: Madhya Pradesh</t>
  </si>
  <si>
    <t>Name of RBI Regional Office:Bhopal</t>
  </si>
  <si>
    <t xml:space="preserve">Name of District </t>
  </si>
  <si>
    <t>Name of Scheduled Commercial Bank selected to open brick and mortar branches in villages with population more than 5000 without a bank branch of a scheduled commercial bank</t>
  </si>
  <si>
    <t xml:space="preserve">No.of Villages allotted </t>
  </si>
  <si>
    <t>No. of villages where brick &amp; mortar branches opened</t>
  </si>
  <si>
    <t>Brick &amp; mortar branches opened during the quarter ended 30th June 2016</t>
  </si>
  <si>
    <t>Total brick and mortar opened upto the end of the quarter 30th June 2016</t>
  </si>
  <si>
    <t xml:space="preserve">BHIND (8) </t>
  </si>
  <si>
    <t>(1) Bank of Maharashtra</t>
  </si>
  <si>
    <t>Jawasa</t>
  </si>
  <si>
    <t>(2) Corporation Bank</t>
  </si>
  <si>
    <t>Manhad</t>
  </si>
  <si>
    <t>(3) Dena Bank</t>
  </si>
  <si>
    <t>Goara</t>
  </si>
  <si>
    <t>(4) HDFC Bank</t>
  </si>
  <si>
    <t>Rahawali Ubari</t>
  </si>
  <si>
    <t>(5) Syndicate Bank</t>
  </si>
  <si>
    <t>Sherpur</t>
  </si>
  <si>
    <t>(6) Vijaya Bank</t>
  </si>
  <si>
    <t>Sukand</t>
  </si>
  <si>
    <t>BALAGHAT</t>
  </si>
  <si>
    <t>(1) Bandhan Bank</t>
  </si>
  <si>
    <t>Bisoni</t>
  </si>
  <si>
    <t>(2) IDFC Bank</t>
  </si>
  <si>
    <t>Temni</t>
  </si>
  <si>
    <t>BARWANI</t>
  </si>
  <si>
    <t>(1) YES Bank</t>
  </si>
  <si>
    <t>Khurmabad</t>
  </si>
  <si>
    <t>(2) Ratnakar Bank</t>
  </si>
  <si>
    <t>Dugani</t>
  </si>
  <si>
    <t>(3) Federal Bank</t>
  </si>
  <si>
    <t>Solwan</t>
  </si>
  <si>
    <t>(4) NJGB</t>
  </si>
  <si>
    <t>Danodroud</t>
  </si>
  <si>
    <t>(5) State Bank of Hyderabad</t>
  </si>
  <si>
    <t>Jalkheda</t>
  </si>
  <si>
    <t>(6) Indusind Bank</t>
  </si>
  <si>
    <t>Jhopali</t>
  </si>
  <si>
    <t>(7) Jammu &amp; Kashmir Bank Ltd.</t>
  </si>
  <si>
    <t>Jamati</t>
  </si>
  <si>
    <t>(8) State Bank of Patiala</t>
  </si>
  <si>
    <t>Vilva</t>
  </si>
  <si>
    <t>(9) State Bank of Travancore</t>
  </si>
  <si>
    <t>Khokri</t>
  </si>
  <si>
    <t>(10) State Bank of Mysore</t>
  </si>
  <si>
    <t>Chiklay</t>
  </si>
  <si>
    <t xml:space="preserve">BHOPAL (1) </t>
  </si>
  <si>
    <t>(1) Kotak Mahindra Bank</t>
  </si>
  <si>
    <t>Kanhasaiya</t>
  </si>
  <si>
    <t xml:space="preserve">CHHINDWARA (2) </t>
  </si>
  <si>
    <t>(1) Indian Over Seas Bank</t>
  </si>
  <si>
    <t>Berdi</t>
  </si>
  <si>
    <t>(2) U C O Bank</t>
  </si>
  <si>
    <t>Ekalbihari</t>
  </si>
  <si>
    <t>DEWAS</t>
  </si>
  <si>
    <t>(1) Citi Union Bank</t>
  </si>
  <si>
    <t>Bawdikheda</t>
  </si>
  <si>
    <t>DHAR (4)</t>
  </si>
  <si>
    <t>(1) Oriental Bank of Commerce</t>
  </si>
  <si>
    <t>Awaldand</t>
  </si>
  <si>
    <t>(2) Punjab &amp; Sind Bank</t>
  </si>
  <si>
    <t>Sejwaya</t>
  </si>
  <si>
    <t>(3) State Bank of Bikaner &amp;  Jaipur</t>
  </si>
  <si>
    <t>Timayachi</t>
  </si>
  <si>
    <t>(4) Axis Bank</t>
  </si>
  <si>
    <t>Gumanpura</t>
  </si>
  <si>
    <t xml:space="preserve">KHANDWA(1) </t>
  </si>
  <si>
    <t>(1) Central Bank of India</t>
  </si>
  <si>
    <t>Khirala</t>
  </si>
  <si>
    <t>HOSHANGABAD(3)</t>
  </si>
  <si>
    <t>(1) Andhra Bank</t>
  </si>
  <si>
    <t>Bijanwada</t>
  </si>
  <si>
    <t>(2) Indian Bank</t>
  </si>
  <si>
    <t>Raipur</t>
  </si>
  <si>
    <t>(3) State Bank of India</t>
  </si>
  <si>
    <t>Sangakheda kalan</t>
  </si>
  <si>
    <t>MANDSAUR(2)</t>
  </si>
  <si>
    <t>(1) Punjab National Bank</t>
  </si>
  <si>
    <t>Khilchipura</t>
  </si>
  <si>
    <t>(2) Bank of India</t>
  </si>
  <si>
    <t>Multanpura</t>
  </si>
  <si>
    <t>PANNA</t>
  </si>
  <si>
    <t xml:space="preserve">(1) MGB </t>
  </si>
  <si>
    <t>Itwan Kalan</t>
  </si>
  <si>
    <t>(2) State Bank of India</t>
  </si>
  <si>
    <t>Khora</t>
  </si>
  <si>
    <t>(3) Bank of India</t>
  </si>
  <si>
    <t>Nayagaon</t>
  </si>
  <si>
    <t xml:space="preserve">(4) Karnataka Bank </t>
  </si>
  <si>
    <t>Jaswant Pura</t>
  </si>
  <si>
    <t>SATNA(5)</t>
  </si>
  <si>
    <t>(1) Bank of Baroda</t>
  </si>
  <si>
    <t>Aber</t>
  </si>
  <si>
    <t>(2) Union Bank of India</t>
  </si>
  <si>
    <t>Gantha</t>
  </si>
  <si>
    <t>(3) ICICI Bank</t>
  </si>
  <si>
    <t>Bhishampur</t>
  </si>
  <si>
    <t>(4) Canara Bank</t>
  </si>
  <si>
    <t>Kharam Seda</t>
  </si>
  <si>
    <t>SEHORE</t>
  </si>
  <si>
    <t>(1) NJGB</t>
  </si>
  <si>
    <t>Bhonra</t>
  </si>
  <si>
    <t>TIKAMGARH</t>
  </si>
  <si>
    <t>(1) IDBI Bank</t>
  </si>
  <si>
    <t>Astaun Khas</t>
  </si>
  <si>
    <t>(2) South Indian Bank</t>
  </si>
  <si>
    <t>Bachhoda Khas</t>
  </si>
  <si>
    <t>(3) Bandhan Bank</t>
  </si>
  <si>
    <t>Chhandawani Khas</t>
  </si>
  <si>
    <t>(4) I D F C Bank</t>
  </si>
  <si>
    <t>Muhara Khas</t>
  </si>
  <si>
    <t xml:space="preserve">(5) Allahabad Bank </t>
  </si>
  <si>
    <t>Satguwan Khas</t>
  </si>
  <si>
    <t>(6) United Bank of India</t>
  </si>
  <si>
    <t>Biawarkhas</t>
  </si>
  <si>
    <t>LDM, Bhopal revisited the villages and informed that there is only one village "Kanhasaiya" where there is no brick &amp; mortar</t>
  </si>
  <si>
    <t>branch in Bhopal district. Accordingly, village Kanhasaiya is allotted to Kotak Mahindra Bank in the place of Ratanpur village in Bhopal District.</t>
  </si>
  <si>
    <t>Roadmap- Progress in opening brick and mortar branches in villages with population more than 5000</t>
  </si>
  <si>
    <t>Chief Minister Rural Housing Mission</t>
  </si>
  <si>
    <t>Bank Wise Mission's  Progress Upto 31/07/2016
FY 2016-17</t>
  </si>
  <si>
    <t xml:space="preserve">S. No. </t>
  </si>
  <si>
    <t>Target 
FY 2016-17</t>
  </si>
  <si>
    <t>No. of cases submitted to the bank</t>
  </si>
  <si>
    <t>No. of cases sanctioned by the bank</t>
  </si>
  <si>
    <t>No. of cases available with the bank</t>
  </si>
  <si>
    <t xml:space="preserve">No. of cases disbursed by the bank </t>
  </si>
  <si>
    <t xml:space="preserve">No. of cases sanctioned
by the bank  </t>
  </si>
  <si>
    <t xml:space="preserve">        Nationalized Banks</t>
  </si>
  <si>
    <t xml:space="preserve">Punjab National Bank </t>
  </si>
  <si>
    <t xml:space="preserve">       Gramin Banks</t>
  </si>
  <si>
    <t>Narmada Jhabua Gramin Bank</t>
  </si>
  <si>
    <t>Central Madhya Pradesh Gramin Bank</t>
  </si>
  <si>
    <t>Madhyanchal Gramin Bank</t>
  </si>
  <si>
    <t xml:space="preserve">      DCCBs </t>
  </si>
  <si>
    <t>Ratlam</t>
  </si>
  <si>
    <t>Vidisha</t>
  </si>
  <si>
    <t>Mandsaur</t>
  </si>
  <si>
    <t>Indore</t>
  </si>
  <si>
    <t xml:space="preserve"> Sehore</t>
  </si>
  <si>
    <t xml:space="preserve">Betul </t>
  </si>
  <si>
    <t xml:space="preserve">Achievement against target of first quarter </t>
  </si>
  <si>
    <r>
      <t xml:space="preserve">Bank Credit linkage information of M.P.State Rural Livelihood Mission (SRLM) for the period 1ST APRIL TO END OF MONTH..... </t>
    </r>
    <r>
      <rPr>
        <b/>
        <sz val="10"/>
        <color indexed="10"/>
        <rFont val="Calibri"/>
        <family val="2"/>
      </rPr>
      <t xml:space="preserve"> (Amount in lakhs.) FORMAT-</t>
    </r>
    <r>
      <rPr>
        <b/>
        <sz val="10"/>
        <rFont val="Calibri"/>
        <family val="2"/>
      </rPr>
      <t xml:space="preserve"> VII Revised </t>
    </r>
  </si>
  <si>
    <t xml:space="preserve">Sl. no. </t>
  </si>
  <si>
    <t>Name of bank</t>
  </si>
  <si>
    <t>Target 2016-17</t>
  </si>
  <si>
    <t>Submitted cases from April 2016.</t>
  </si>
  <si>
    <t>Pending for disbursement out of sanction cases during previous yr.</t>
  </si>
  <si>
    <t>Sanctioned during the current year</t>
  </si>
  <si>
    <t xml:space="preserve">Total sanction      </t>
  </si>
  <si>
    <t>Returned by bank</t>
  </si>
  <si>
    <t xml:space="preserve">Pending for sanction </t>
  </si>
  <si>
    <t>Disbursement (Amt.in lakhs)</t>
  </si>
  <si>
    <t xml:space="preserve">Pending for disbursement </t>
  </si>
  <si>
    <t>COLOMN NO.07+09</t>
  </si>
  <si>
    <t>COLOMN NO.08+10</t>
  </si>
  <si>
    <t>COLOMN NO. 05-09-13</t>
  </si>
  <si>
    <t>COLOMN NO.06-10-14</t>
  </si>
  <si>
    <t>out of coloumn no.7</t>
  </si>
  <si>
    <t>out of coloumn no.8</t>
  </si>
  <si>
    <t>out of coloumn no.9</t>
  </si>
  <si>
    <t>out of coloumn no.10</t>
  </si>
  <si>
    <t>COLOMN NO. 7-17</t>
  </si>
  <si>
    <t>COLOMN NO. 8-18</t>
  </si>
  <si>
    <t>COLOMN NO. 9-19</t>
  </si>
  <si>
    <t>COLOMN NO. 10-20</t>
  </si>
  <si>
    <t xml:space="preserve">NO. </t>
  </si>
  <si>
    <t xml:space="preserve">ALB </t>
  </si>
  <si>
    <t xml:space="preserve">Andhra Bank </t>
  </si>
  <si>
    <t xml:space="preserve">Axix Bank </t>
  </si>
  <si>
    <t xml:space="preserve">BOB </t>
  </si>
  <si>
    <t xml:space="preserve">BOI </t>
  </si>
  <si>
    <t xml:space="preserve">BOM </t>
  </si>
  <si>
    <t xml:space="preserve">Canara Bank </t>
  </si>
  <si>
    <t xml:space="preserve">CBI </t>
  </si>
  <si>
    <t xml:space="preserve">CMPGB </t>
  </si>
  <si>
    <t xml:space="preserve">Corporation Bank </t>
  </si>
  <si>
    <t xml:space="preserve">DCCB </t>
  </si>
  <si>
    <t xml:space="preserve">Dena Bank </t>
  </si>
  <si>
    <t xml:space="preserve">HDFC Bank </t>
  </si>
  <si>
    <t xml:space="preserve">ICICI Bank </t>
  </si>
  <si>
    <t xml:space="preserve">IDBI Bank </t>
  </si>
  <si>
    <t xml:space="preserve">Indian Bank  </t>
  </si>
  <si>
    <t xml:space="preserve">IOB </t>
  </si>
  <si>
    <t xml:space="preserve">KOTAK MAHINDRA  </t>
  </si>
  <si>
    <t xml:space="preserve">MGB </t>
  </si>
  <si>
    <t xml:space="preserve">NJGB </t>
  </si>
  <si>
    <t xml:space="preserve">OBC Bank </t>
  </si>
  <si>
    <t xml:space="preserve">PNB </t>
  </si>
  <si>
    <t xml:space="preserve">Sanghmitra </t>
  </si>
  <si>
    <t xml:space="preserve">SBBJ </t>
  </si>
  <si>
    <t xml:space="preserve">SBI </t>
  </si>
  <si>
    <t xml:space="preserve">Syndicate Bank  </t>
  </si>
  <si>
    <t xml:space="preserve">UBI </t>
  </si>
  <si>
    <t xml:space="preserve">UCO Bank </t>
  </si>
  <si>
    <t xml:space="preserve">UNITED BANK </t>
  </si>
  <si>
    <t xml:space="preserve">Vijaya Bank </t>
  </si>
  <si>
    <t xml:space="preserve">YES BANK </t>
  </si>
  <si>
    <t>Sr. No.</t>
  </si>
  <si>
    <t>Name of the Bank</t>
  </si>
  <si>
    <t>Total no. of A/cs Opened in PMJDY</t>
  </si>
  <si>
    <t>Total no. of A/cs Opened for Minors in PMJDY</t>
  </si>
  <si>
    <t>Balance held in the A/cs (In Crores)</t>
  </si>
  <si>
    <t>No. of RuPay Card Issued</t>
  </si>
  <si>
    <t>No. of Aadhar Seeding in the A/cs</t>
  </si>
  <si>
    <t>Aadhar seeding %</t>
  </si>
  <si>
    <t>No. of Zero Bal. A/cs</t>
  </si>
  <si>
    <t>% of Zero Bal. A/cs</t>
  </si>
  <si>
    <t>No. of RuPay Card Activation</t>
  </si>
  <si>
    <t>City Union Bank Ltd.</t>
  </si>
  <si>
    <t>Federal Bank Ltd</t>
  </si>
  <si>
    <t>SBBJ</t>
  </si>
  <si>
    <t>State Bank of Travancore</t>
  </si>
  <si>
    <t>PROGRESS UNDER PRADHAN MANTRI JAN DHAN YOJANA</t>
  </si>
  <si>
    <t>SLBC MADHYA PRADESH</t>
  </si>
  <si>
    <t>BANK</t>
  </si>
  <si>
    <t>FRESH/RENEWALPMJJBY</t>
  </si>
  <si>
    <t>FRESH/RENEWALPMSBY</t>
  </si>
  <si>
    <t>FRESH/RENEWAL APY</t>
  </si>
  <si>
    <t>IDBI Bank Ltd.</t>
  </si>
  <si>
    <t>O.Bank of Commerce</t>
  </si>
  <si>
    <t>SUB TOTAL (PSB)</t>
  </si>
  <si>
    <t>AXIS Bank</t>
  </si>
  <si>
    <t>INDUSIND BANK</t>
  </si>
  <si>
    <t>KOTAK MAHINDRA</t>
  </si>
  <si>
    <t>KARNATAKA BANK</t>
  </si>
  <si>
    <t>RBL BANK</t>
  </si>
  <si>
    <t>FEDERAL BANK</t>
  </si>
  <si>
    <t>YES BANK</t>
  </si>
  <si>
    <t>SUB TOTAL (PVT BANKS)</t>
  </si>
  <si>
    <t>SUB TOTAL (RRB)</t>
  </si>
  <si>
    <t>APEX BANK</t>
  </si>
  <si>
    <t xml:space="preserve">PROGRESS REPORT ON ENROLLMENT UNDER SOCIAL SECURITY SCHEMES </t>
  </si>
  <si>
    <t xml:space="preserve"> PROGRESS UNDER MUDRA FROM 01.04.2016 ONWARDS</t>
  </si>
  <si>
    <t>Amt. in crores</t>
  </si>
  <si>
    <t>As on 19.07.2016</t>
  </si>
  <si>
    <t>TARGET (Amt.) FY 16-17</t>
  </si>
  <si>
    <t>As on 31.03.16</t>
  </si>
  <si>
    <t>SHISHU</t>
  </si>
  <si>
    <t>KISHORE</t>
  </si>
  <si>
    <t>TARUN</t>
  </si>
  <si>
    <t>PSBs TOTAL</t>
  </si>
  <si>
    <t>Ing Vysya Bank</t>
  </si>
  <si>
    <t>The Jammu and Kashmir Bank</t>
  </si>
  <si>
    <t>The Karur Vysya Bank Ltd.</t>
  </si>
  <si>
    <t>R B L Bank</t>
  </si>
  <si>
    <t>The South indian Bank</t>
  </si>
  <si>
    <t>PVT. BANKS TOTAL</t>
  </si>
  <si>
    <t>RRBs TOTAL</t>
  </si>
  <si>
    <t>TOTAL STATE</t>
  </si>
  <si>
    <t>PROGRESS REPORT UNDER STAND UP INDIA SCHME AS ON 19.07.2016</t>
  </si>
  <si>
    <t>SC</t>
  </si>
  <si>
    <t>WOMEN</t>
  </si>
  <si>
    <t>No. of unit</t>
  </si>
  <si>
    <t>Amount in crores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</si>
</sst>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\ \ "/>
    <numFmt numFmtId="165" formatCode="[$-4009]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_ * #,##0.00_ ;_ * \-#,##0.00_ ;_ * &quot;-&quot;??_ ;_ @_ "/>
    <numFmt numFmtId="173" formatCode="_(* #,##0_);_(* \(#,##0\);_(* &quot;-&quot;??_);_(@_)"/>
    <numFmt numFmtId="174" formatCode="0.0000"/>
    <numFmt numFmtId="175" formatCode="_(* #,##0.00_);_(* \(#,##0.00\);_(* \-??_);_(@_)"/>
    <numFmt numFmtId="176" formatCode="0;[Red]0"/>
    <numFmt numFmtId="177" formatCode="0.00;[Red]0.00"/>
    <numFmt numFmtId="178" formatCode="[$-409]0"/>
    <numFmt numFmtId="179" formatCode="[$-409]0.00"/>
  </numFmts>
  <fonts count="103">
    <font>
      <sz val="10"/>
      <color theme="4" tint="-0.2499399930238723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49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i/>
      <u val="single"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b/>
      <i/>
      <u val="single"/>
      <sz val="10.5"/>
      <name val="Times New Roman"/>
      <family val="1"/>
    </font>
    <font>
      <i/>
      <sz val="10.5"/>
      <name val="Times New Roman"/>
      <family val="1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6"/>
      <color indexed="49"/>
      <name val="Calibri"/>
      <family val="2"/>
    </font>
    <font>
      <sz val="14"/>
      <color indexed="4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5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i/>
      <sz val="10.5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4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6"/>
      <color theme="4" tint="-0.24993999302387238"/>
      <name val="Calibri"/>
      <family val="2"/>
    </font>
    <font>
      <sz val="14"/>
      <color theme="4" tint="-0.24993999302387238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i/>
      <sz val="10.5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4" tint="-0.2499399930238723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</borders>
  <cellStyleXfs count="117">
    <xf numFmtId="0" fontId="0" fillId="0" borderId="0">
      <alignment vertical="top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2" fillId="0" borderId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Protection="0">
      <alignment vertical="center"/>
    </xf>
    <xf numFmtId="0" fontId="69" fillId="0" borderId="0" applyNumberFormat="0" applyFill="0" applyBorder="0" applyProtection="0">
      <alignment vertical="center"/>
    </xf>
    <xf numFmtId="0" fontId="69" fillId="0" borderId="0" applyNumberFormat="0" applyFill="0" applyBorder="0" applyProtection="0">
      <alignment vertical="center"/>
    </xf>
    <xf numFmtId="0" fontId="69" fillId="0" borderId="0" applyNumberFormat="0" applyFill="0" applyBorder="0" applyProtection="0">
      <alignment vertical="center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4" applyNumberFormat="0" applyFill="0" applyAlignment="0" applyProtection="0"/>
    <xf numFmtId="0" fontId="75" fillId="31" borderId="0" applyNumberFormat="0" applyBorder="0" applyAlignment="0" applyProtection="0"/>
    <xf numFmtId="0" fontId="12" fillId="0" borderId="0">
      <alignment/>
      <protection/>
    </xf>
    <xf numFmtId="0" fontId="76" fillId="0" borderId="0">
      <alignment/>
      <protection/>
    </xf>
    <xf numFmtId="0" fontId="0" fillId="0" borderId="0">
      <alignment vertical="top" wrapText="1"/>
      <protection/>
    </xf>
    <xf numFmtId="0" fontId="76" fillId="0" borderId="0">
      <alignment/>
      <protection/>
    </xf>
    <xf numFmtId="0" fontId="0" fillId="0" borderId="0">
      <alignment vertical="top" wrapText="1"/>
      <protection/>
    </xf>
    <xf numFmtId="0" fontId="76" fillId="0" borderId="0">
      <alignment/>
      <protection/>
    </xf>
    <xf numFmtId="0" fontId="76" fillId="0" borderId="0">
      <alignment/>
      <protection/>
    </xf>
    <xf numFmtId="0" fontId="7" fillId="0" borderId="0">
      <alignment vertical="top" wrapText="1"/>
      <protection/>
    </xf>
    <xf numFmtId="0" fontId="0" fillId="0" borderId="0">
      <alignment vertical="top" wrapText="1"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3" fillId="0" borderId="0">
      <alignment/>
      <protection/>
    </xf>
    <xf numFmtId="0" fontId="0" fillId="0" borderId="0">
      <alignment vertical="top" wrapText="1"/>
      <protection/>
    </xf>
    <xf numFmtId="0" fontId="76" fillId="0" borderId="0">
      <alignment/>
      <protection/>
    </xf>
    <xf numFmtId="0" fontId="0" fillId="0" borderId="0">
      <alignment vertical="top" wrapText="1"/>
      <protection/>
    </xf>
    <xf numFmtId="0" fontId="0" fillId="0" borderId="0">
      <alignment vertical="top" wrapText="1"/>
      <protection/>
    </xf>
    <xf numFmtId="0" fontId="76" fillId="0" borderId="0">
      <alignment/>
      <protection/>
    </xf>
    <xf numFmtId="0" fontId="11" fillId="0" borderId="0">
      <alignment/>
      <protection/>
    </xf>
    <xf numFmtId="0" fontId="0" fillId="0" borderId="0">
      <alignment vertical="top" wrapText="1"/>
      <protection/>
    </xf>
    <xf numFmtId="0" fontId="0" fillId="0" borderId="0">
      <alignment vertical="top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top" wrapText="1"/>
      <protection/>
    </xf>
    <xf numFmtId="0" fontId="7" fillId="0" borderId="0">
      <alignment vertical="top" wrapText="1"/>
      <protection/>
    </xf>
    <xf numFmtId="0" fontId="0" fillId="0" borderId="0">
      <alignment vertical="top" wrapText="1"/>
      <protection/>
    </xf>
    <xf numFmtId="0" fontId="62" fillId="0" borderId="0">
      <alignment/>
      <protection/>
    </xf>
    <xf numFmtId="0" fontId="0" fillId="0" borderId="0">
      <alignment vertical="top" wrapText="1"/>
      <protection/>
    </xf>
    <xf numFmtId="0" fontId="7" fillId="0" borderId="0">
      <alignment vertical="top" wrapText="1"/>
      <protection/>
    </xf>
    <xf numFmtId="0" fontId="0" fillId="0" borderId="0">
      <alignment vertical="top" wrapText="1"/>
      <protection/>
    </xf>
    <xf numFmtId="0" fontId="62" fillId="0" borderId="0">
      <alignment/>
      <protection/>
    </xf>
    <xf numFmtId="0" fontId="12" fillId="0" borderId="0">
      <alignment/>
      <protection/>
    </xf>
    <xf numFmtId="0" fontId="7" fillId="32" borderId="5" applyNumberFormat="0" applyFont="0" applyAlignment="0" applyProtection="0"/>
    <xf numFmtId="0" fontId="77" fillId="27" borderId="6" applyNumberFormat="0" applyAlignment="0" applyProtection="0"/>
    <xf numFmtId="9" fontId="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0" borderId="0" applyNumberFormat="0" applyFill="0" applyBorder="0" applyAlignment="0" applyProtection="0"/>
  </cellStyleXfs>
  <cellXfs count="714">
    <xf numFmtId="0" fontId="0" fillId="0" borderId="0" xfId="0" applyFont="1" applyAlignment="1">
      <alignment vertical="top" wrapText="1"/>
    </xf>
    <xf numFmtId="0" fontId="6" fillId="33" borderId="8" xfId="0" applyFont="1" applyFill="1" applyBorder="1" applyAlignment="1">
      <alignment vertical="center"/>
    </xf>
    <xf numFmtId="2" fontId="3" fillId="33" borderId="0" xfId="0" applyNumberFormat="1" applyFont="1" applyFill="1" applyAlignment="1" applyProtection="1">
      <alignment vertical="top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2" fontId="5" fillId="33" borderId="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Alignment="1">
      <alignment vertical="top" wrapText="1"/>
    </xf>
    <xf numFmtId="1" fontId="2" fillId="33" borderId="0" xfId="0" applyNumberFormat="1" applyFont="1" applyFill="1" applyAlignment="1">
      <alignment vertical="top" wrapText="1"/>
    </xf>
    <xf numFmtId="1" fontId="2" fillId="33" borderId="0" xfId="0" applyNumberFormat="1" applyFont="1" applyFill="1" applyAlignment="1" applyProtection="1">
      <alignment horizontal="right" vertical="top" wrapText="1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2" fontId="81" fillId="33" borderId="8" xfId="0" applyNumberFormat="1" applyFont="1" applyFill="1" applyBorder="1" applyAlignment="1">
      <alignment vertical="center"/>
    </xf>
    <xf numFmtId="0" fontId="81" fillId="33" borderId="8" xfId="0" applyFont="1" applyFill="1" applyBorder="1" applyAlignment="1">
      <alignment vertical="center"/>
    </xf>
    <xf numFmtId="0" fontId="82" fillId="33" borderId="0" xfId="0" applyFont="1" applyFill="1" applyAlignment="1">
      <alignment vertical="center"/>
    </xf>
    <xf numFmtId="0" fontId="83" fillId="33" borderId="8" xfId="0" applyFont="1" applyFill="1" applyBorder="1" applyAlignment="1">
      <alignment horizontal="center" vertical="center"/>
    </xf>
    <xf numFmtId="0" fontId="83" fillId="33" borderId="8" xfId="0" applyFont="1" applyFill="1" applyBorder="1" applyAlignment="1">
      <alignment vertical="center"/>
    </xf>
    <xf numFmtId="2" fontId="84" fillId="33" borderId="8" xfId="0" applyNumberFormat="1" applyFont="1" applyFill="1" applyBorder="1" applyAlignment="1">
      <alignment vertical="center"/>
    </xf>
    <xf numFmtId="0" fontId="84" fillId="33" borderId="8" xfId="0" applyFont="1" applyFill="1" applyBorder="1" applyAlignment="1">
      <alignment horizontal="center" vertical="center"/>
    </xf>
    <xf numFmtId="0" fontId="84" fillId="33" borderId="8" xfId="0" applyFont="1" applyFill="1" applyBorder="1" applyAlignment="1">
      <alignment vertical="center"/>
    </xf>
    <xf numFmtId="0" fontId="81" fillId="33" borderId="8" xfId="0" applyFont="1" applyFill="1" applyBorder="1" applyAlignment="1">
      <alignment horizontal="center" vertical="center"/>
    </xf>
    <xf numFmtId="2" fontId="81" fillId="33" borderId="8" xfId="0" applyNumberFormat="1" applyFont="1" applyFill="1" applyBorder="1" applyAlignment="1">
      <alignment horizontal="center" vertical="center"/>
    </xf>
    <xf numFmtId="0" fontId="82" fillId="33" borderId="8" xfId="0" applyFont="1" applyFill="1" applyBorder="1" applyAlignment="1">
      <alignment horizontal="center" vertical="center"/>
    </xf>
    <xf numFmtId="0" fontId="82" fillId="33" borderId="8" xfId="0" applyFont="1" applyFill="1" applyBorder="1" applyAlignment="1">
      <alignment vertical="center"/>
    </xf>
    <xf numFmtId="2" fontId="82" fillId="33" borderId="8" xfId="0" applyNumberFormat="1" applyFont="1" applyFill="1" applyBorder="1" applyAlignment="1">
      <alignment vertical="center"/>
    </xf>
    <xf numFmtId="0" fontId="82" fillId="33" borderId="0" xfId="0" applyFont="1" applyFill="1" applyAlignment="1">
      <alignment horizontal="center" vertical="center"/>
    </xf>
    <xf numFmtId="2" fontId="82" fillId="33" borderId="0" xfId="0" applyNumberFormat="1" applyFont="1" applyFill="1" applyAlignment="1">
      <alignment vertical="center"/>
    </xf>
    <xf numFmtId="0" fontId="81" fillId="33" borderId="0" xfId="0" applyFont="1" applyFill="1" applyAlignment="1">
      <alignment vertical="center"/>
    </xf>
    <xf numFmtId="1" fontId="2" fillId="33" borderId="0" xfId="0" applyNumberFormat="1" applyFont="1" applyFill="1" applyAlignment="1" applyProtection="1">
      <alignment horizontal="right" vertical="center"/>
      <protection locked="0"/>
    </xf>
    <xf numFmtId="1" fontId="2" fillId="33" borderId="0" xfId="0" applyNumberFormat="1" applyFont="1" applyFill="1" applyAlignment="1" applyProtection="1">
      <alignment vertical="top" wrapText="1"/>
      <protection locked="0"/>
    </xf>
    <xf numFmtId="1" fontId="3" fillId="33" borderId="0" xfId="0" applyNumberFormat="1" applyFont="1" applyFill="1" applyAlignment="1" applyProtection="1">
      <alignment vertical="top" wrapText="1"/>
      <protection locked="0"/>
    </xf>
    <xf numFmtId="1" fontId="2" fillId="33" borderId="8" xfId="0" applyNumberFormat="1" applyFont="1" applyFill="1" applyBorder="1" applyAlignment="1">
      <alignment vertical="top" wrapText="1"/>
    </xf>
    <xf numFmtId="2" fontId="2" fillId="33" borderId="0" xfId="0" applyNumberFormat="1" applyFont="1" applyFill="1" applyAlignment="1">
      <alignment vertical="top" wrapText="1"/>
    </xf>
    <xf numFmtId="0" fontId="6" fillId="33" borderId="8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vertical="top" wrapText="1"/>
      <protection locked="0"/>
    </xf>
    <xf numFmtId="2" fontId="2" fillId="33" borderId="0" xfId="0" applyNumberFormat="1" applyFont="1" applyFill="1" applyAlignment="1" applyProtection="1">
      <alignment vertical="top" wrapText="1"/>
      <protection locked="0"/>
    </xf>
    <xf numFmtId="0" fontId="6" fillId="33" borderId="8" xfId="0" applyFont="1" applyFill="1" applyBorder="1" applyAlignment="1">
      <alignment/>
    </xf>
    <xf numFmtId="0" fontId="2" fillId="33" borderId="0" xfId="0" applyFont="1" applyFill="1" applyAlignment="1" applyProtection="1">
      <alignment horizontal="center" vertical="top" wrapText="1"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2" fontId="6" fillId="33" borderId="0" xfId="0" applyNumberFormat="1" applyFont="1" applyFill="1" applyAlignment="1" applyProtection="1">
      <alignment horizontal="center" vertical="top" wrapText="1"/>
      <protection locked="0"/>
    </xf>
    <xf numFmtId="2" fontId="5" fillId="33" borderId="0" xfId="0" applyNumberFormat="1" applyFont="1" applyFill="1" applyAlignment="1" applyProtection="1">
      <alignment vertical="top" wrapText="1"/>
      <protection locked="0"/>
    </xf>
    <xf numFmtId="1" fontId="6" fillId="33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1" fontId="6" fillId="33" borderId="0" xfId="0" applyNumberFormat="1" applyFont="1" applyFill="1" applyAlignment="1" applyProtection="1">
      <alignment vertical="top" wrapText="1"/>
      <protection locked="0"/>
    </xf>
    <xf numFmtId="2" fontId="6" fillId="33" borderId="0" xfId="0" applyNumberFormat="1" applyFont="1" applyFill="1" applyAlignment="1" applyProtection="1">
      <alignment vertical="top" wrapText="1"/>
      <protection locked="0"/>
    </xf>
    <xf numFmtId="2" fontId="6" fillId="33" borderId="8" xfId="0" applyNumberFormat="1" applyFont="1" applyFill="1" applyBorder="1" applyAlignment="1" applyProtection="1">
      <alignment vertical="top" wrapText="1"/>
      <protection locked="0"/>
    </xf>
    <xf numFmtId="0" fontId="15" fillId="33" borderId="0" xfId="0" applyFont="1" applyFill="1" applyAlignment="1" applyProtection="1">
      <alignment vertical="top" wrapText="1"/>
      <protection locked="0"/>
    </xf>
    <xf numFmtId="2" fontId="15" fillId="33" borderId="0" xfId="0" applyNumberFormat="1" applyFont="1" applyFill="1" applyAlignment="1" applyProtection="1">
      <alignment horizontal="center" vertical="center" wrapText="1"/>
      <protection locked="0"/>
    </xf>
    <xf numFmtId="1" fontId="15" fillId="33" borderId="0" xfId="0" applyNumberFormat="1" applyFont="1" applyFill="1" applyAlignment="1" applyProtection="1">
      <alignment horizontal="center" vertical="top" wrapText="1"/>
      <protection locked="0"/>
    </xf>
    <xf numFmtId="1" fontId="15" fillId="33" borderId="0" xfId="0" applyNumberFormat="1" applyFont="1" applyFill="1" applyAlignment="1" applyProtection="1">
      <alignment vertical="top" wrapText="1"/>
      <protection locked="0"/>
    </xf>
    <xf numFmtId="0" fontId="15" fillId="33" borderId="0" xfId="0" applyFont="1" applyFill="1" applyAlignment="1" applyProtection="1">
      <alignment horizontal="center" vertical="top" wrapText="1"/>
      <protection locked="0"/>
    </xf>
    <xf numFmtId="1" fontId="5" fillId="33" borderId="0" xfId="0" applyNumberFormat="1" applyFont="1" applyFill="1" applyAlignment="1" applyProtection="1">
      <alignment vertical="top" wrapText="1"/>
      <protection locked="0"/>
    </xf>
    <xf numFmtId="0" fontId="5" fillId="33" borderId="9" xfId="0" applyFont="1" applyFill="1" applyBorder="1" applyAlignment="1" applyProtection="1">
      <alignment vertical="center" wrapText="1"/>
      <protection locked="0"/>
    </xf>
    <xf numFmtId="1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8" xfId="0" applyNumberFormat="1" applyFont="1" applyFill="1" applyBorder="1" applyAlignment="1" applyProtection="1">
      <alignment horizontal="right" vertical="center" wrapText="1"/>
      <protection/>
    </xf>
    <xf numFmtId="2" fontId="6" fillId="33" borderId="8" xfId="0" applyNumberFormat="1" applyFont="1" applyFill="1" applyBorder="1" applyAlignment="1" applyProtection="1">
      <alignment horizontal="right" vertical="center" wrapText="1"/>
      <protection/>
    </xf>
    <xf numFmtId="2" fontId="6" fillId="33" borderId="8" xfId="0" applyNumberFormat="1" applyFont="1" applyFill="1" applyBorder="1" applyAlignment="1" applyProtection="1">
      <alignment vertical="center" wrapText="1"/>
      <protection/>
    </xf>
    <xf numFmtId="2" fontId="5" fillId="33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15" fillId="33" borderId="0" xfId="0" applyFont="1" applyFill="1" applyAlignment="1" applyProtection="1">
      <alignment vertical="center"/>
      <protection locked="0"/>
    </xf>
    <xf numFmtId="1" fontId="15" fillId="33" borderId="0" xfId="0" applyNumberFormat="1" applyFont="1" applyFill="1" applyAlignment="1" applyProtection="1">
      <alignment horizontal="right" vertical="top" wrapText="1"/>
      <protection locked="0"/>
    </xf>
    <xf numFmtId="0" fontId="15" fillId="33" borderId="0" xfId="0" applyFont="1" applyFill="1" applyAlignment="1" applyProtection="1">
      <alignment horizontal="center" vertical="center"/>
      <protection locked="0"/>
    </xf>
    <xf numFmtId="1" fontId="15" fillId="33" borderId="0" xfId="0" applyNumberFormat="1" applyFont="1" applyFill="1" applyAlignment="1" applyProtection="1">
      <alignment horizontal="right" vertical="center"/>
      <protection locked="0"/>
    </xf>
    <xf numFmtId="2" fontId="15" fillId="33" borderId="0" xfId="0" applyNumberFormat="1" applyFont="1" applyFill="1" applyAlignment="1" applyProtection="1">
      <alignment horizontal="right" vertical="top" wrapText="1"/>
      <protection locked="0"/>
    </xf>
    <xf numFmtId="2" fontId="15" fillId="33" borderId="0" xfId="0" applyNumberFormat="1" applyFont="1" applyFill="1" applyAlignment="1" applyProtection="1">
      <alignment horizontal="right" vertical="center"/>
      <protection locked="0"/>
    </xf>
    <xf numFmtId="0" fontId="14" fillId="33" borderId="0" xfId="0" applyFont="1" applyFill="1" applyAlignment="1" applyProtection="1">
      <alignment vertical="top" wrapText="1"/>
      <protection locked="0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16" xfId="0" applyFont="1" applyFill="1" applyBorder="1" applyAlignment="1" applyProtection="1">
      <alignment vertical="center"/>
      <protection locked="0"/>
    </xf>
    <xf numFmtId="0" fontId="16" fillId="33" borderId="17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center" vertical="top" wrapText="1"/>
      <protection locked="0"/>
    </xf>
    <xf numFmtId="0" fontId="14" fillId="33" borderId="8" xfId="0" applyFont="1" applyFill="1" applyBorder="1" applyAlignment="1">
      <alignment horizontal="center" vertical="center"/>
    </xf>
    <xf numFmtId="0" fontId="14" fillId="33" borderId="8" xfId="0" applyFont="1" applyFill="1" applyBorder="1" applyAlignment="1">
      <alignment vertical="center"/>
    </xf>
    <xf numFmtId="0" fontId="16" fillId="33" borderId="8" xfId="0" applyFont="1" applyFill="1" applyBorder="1" applyAlignment="1">
      <alignment horizontal="center" vertical="center"/>
    </xf>
    <xf numFmtId="0" fontId="16" fillId="33" borderId="8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1" fontId="16" fillId="33" borderId="8" xfId="108" applyNumberFormat="1" applyFont="1" applyFill="1" applyBorder="1" applyAlignment="1" applyProtection="1">
      <alignment horizontal="center" vertical="center" wrapText="1"/>
      <protection locked="0"/>
    </xf>
    <xf numFmtId="0" fontId="14" fillId="33" borderId="8" xfId="108" applyFont="1" applyFill="1" applyBorder="1" applyAlignment="1" applyProtection="1">
      <alignment horizontal="center" vertical="top" wrapText="1"/>
      <protection locked="0"/>
    </xf>
    <xf numFmtId="0" fontId="14" fillId="33" borderId="8" xfId="108" applyFont="1" applyFill="1" applyBorder="1" applyAlignment="1">
      <alignment/>
      <protection/>
    </xf>
    <xf numFmtId="1" fontId="14" fillId="33" borderId="8" xfId="108" applyNumberFormat="1" applyFont="1" applyFill="1" applyBorder="1" applyAlignment="1" applyProtection="1">
      <alignment horizontal="right" vertical="center" wrapText="1"/>
      <protection/>
    </xf>
    <xf numFmtId="1" fontId="14" fillId="33" borderId="8" xfId="0" applyNumberFormat="1" applyFont="1" applyFill="1" applyBorder="1" applyAlignment="1" applyProtection="1">
      <alignment horizontal="right" vertical="center" wrapText="1"/>
      <protection/>
    </xf>
    <xf numFmtId="2" fontId="14" fillId="33" borderId="8" xfId="108" applyNumberFormat="1" applyFont="1" applyFill="1" applyBorder="1" applyAlignment="1" applyProtection="1">
      <alignment horizontal="right" vertical="center" wrapText="1"/>
      <protection/>
    </xf>
    <xf numFmtId="1" fontId="14" fillId="34" borderId="8" xfId="108" applyNumberFormat="1" applyFont="1" applyFill="1" applyBorder="1" applyAlignment="1" applyProtection="1">
      <alignment horizontal="right" vertical="center" wrapText="1"/>
      <protection locked="0"/>
    </xf>
    <xf numFmtId="1" fontId="14" fillId="34" borderId="8" xfId="108" applyNumberFormat="1" applyFont="1" applyFill="1" applyBorder="1" applyAlignment="1" applyProtection="1">
      <alignment horizontal="right" vertical="center"/>
      <protection locked="0"/>
    </xf>
    <xf numFmtId="1" fontId="14" fillId="34" borderId="8" xfId="0" applyNumberFormat="1" applyFont="1" applyFill="1" applyBorder="1" applyAlignment="1">
      <alignment horizontal="right" vertical="top" wrapText="1"/>
    </xf>
    <xf numFmtId="1" fontId="14" fillId="33" borderId="8" xfId="108" applyNumberFormat="1" applyFont="1" applyFill="1" applyBorder="1" applyAlignment="1" applyProtection="1">
      <alignment horizontal="right" vertical="center"/>
      <protection locked="0"/>
    </xf>
    <xf numFmtId="1" fontId="14" fillId="33" borderId="8" xfId="108" applyNumberFormat="1" applyFont="1" applyFill="1" applyBorder="1" applyAlignment="1" applyProtection="1">
      <alignment horizontal="right" vertical="top" wrapText="1"/>
      <protection locked="0"/>
    </xf>
    <xf numFmtId="1" fontId="14" fillId="33" borderId="8" xfId="0" applyNumberFormat="1" applyFont="1" applyFill="1" applyBorder="1" applyAlignment="1">
      <alignment horizontal="right" vertical="center" wrapText="1"/>
    </xf>
    <xf numFmtId="1" fontId="14" fillId="33" borderId="8" xfId="108" applyNumberFormat="1" applyFont="1" applyFill="1" applyBorder="1" applyAlignment="1" applyProtection="1">
      <alignment horizontal="right" vertical="center" wrapText="1"/>
      <protection locked="0"/>
    </xf>
    <xf numFmtId="1" fontId="14" fillId="33" borderId="8" xfId="108" applyNumberFormat="1" applyFont="1" applyFill="1" applyBorder="1" applyAlignment="1">
      <alignment horizontal="right"/>
      <protection/>
    </xf>
    <xf numFmtId="1" fontId="14" fillId="33" borderId="8" xfId="70" applyNumberFormat="1" applyFont="1" applyFill="1" applyBorder="1" applyAlignment="1" applyProtection="1">
      <alignment horizontal="right" vertical="center" wrapText="1"/>
      <protection/>
    </xf>
    <xf numFmtId="1" fontId="14" fillId="33" borderId="8" xfId="103" applyNumberFormat="1" applyFont="1" applyFill="1" applyBorder="1" applyAlignment="1" applyProtection="1">
      <alignment horizontal="right" vertical="center" wrapText="1"/>
      <protection locked="0"/>
    </xf>
    <xf numFmtId="1" fontId="14" fillId="33" borderId="8" xfId="75" applyNumberFormat="1" applyFont="1" applyFill="1" applyBorder="1" applyAlignment="1" applyProtection="1">
      <alignment horizontal="right" vertical="center" wrapText="1"/>
      <protection locked="0"/>
    </xf>
    <xf numFmtId="0" fontId="16" fillId="33" borderId="8" xfId="108" applyFont="1" applyFill="1" applyBorder="1" applyAlignment="1">
      <alignment/>
      <protection/>
    </xf>
    <xf numFmtId="1" fontId="16" fillId="33" borderId="8" xfId="108" applyNumberFormat="1" applyFont="1" applyFill="1" applyBorder="1" applyAlignment="1" applyProtection="1">
      <alignment horizontal="right" vertical="center"/>
      <protection locked="0"/>
    </xf>
    <xf numFmtId="2" fontId="16" fillId="33" borderId="8" xfId="108" applyNumberFormat="1" applyFont="1" applyFill="1" applyBorder="1" applyAlignment="1" applyProtection="1">
      <alignment horizontal="right" vertical="center" wrapText="1"/>
      <protection/>
    </xf>
    <xf numFmtId="1" fontId="14" fillId="33" borderId="8" xfId="108" applyNumberFormat="1" applyFont="1" applyFill="1" applyBorder="1" applyAlignment="1" applyProtection="1">
      <alignment horizontal="right" wrapText="1"/>
      <protection/>
    </xf>
    <xf numFmtId="0" fontId="14" fillId="33" borderId="8" xfId="108" applyFont="1" applyFill="1" applyBorder="1" applyAlignment="1">
      <alignment horizontal="left" vertical="center" wrapText="1"/>
      <protection/>
    </xf>
    <xf numFmtId="1" fontId="14" fillId="35" borderId="8" xfId="0" applyNumberFormat="1" applyFont="1" applyFill="1" applyBorder="1" applyAlignment="1">
      <alignment horizontal="right"/>
    </xf>
    <xf numFmtId="1" fontId="14" fillId="33" borderId="8" xfId="0" applyNumberFormat="1" applyFont="1" applyFill="1" applyBorder="1" applyAlignment="1">
      <alignment horizontal="right"/>
    </xf>
    <xf numFmtId="1" fontId="14" fillId="34" borderId="8" xfId="108" applyNumberFormat="1" applyFont="1" applyFill="1" applyBorder="1" applyAlignment="1" applyProtection="1">
      <alignment horizontal="right" vertical="center" wrapText="1"/>
      <protection/>
    </xf>
    <xf numFmtId="1" fontId="14" fillId="33" borderId="8" xfId="70" applyNumberFormat="1" applyFont="1" applyFill="1" applyBorder="1" applyAlignment="1" applyProtection="1">
      <alignment horizontal="right" vertical="center" wrapText="1"/>
      <protection locked="0"/>
    </xf>
    <xf numFmtId="1" fontId="14" fillId="33" borderId="8" xfId="70" applyNumberFormat="1" applyFont="1" applyFill="1" applyBorder="1" applyAlignment="1" applyProtection="1">
      <alignment horizontal="right" wrapText="1"/>
      <protection locked="0"/>
    </xf>
    <xf numFmtId="1" fontId="14" fillId="36" borderId="8" xfId="108" applyNumberFormat="1" applyFont="1" applyFill="1" applyBorder="1" applyAlignment="1" applyProtection="1">
      <alignment horizontal="right" vertical="center" wrapText="1"/>
      <protection locked="0"/>
    </xf>
    <xf numFmtId="0" fontId="5" fillId="33" borderId="0" xfId="0" applyFont="1" applyFill="1" applyAlignment="1" applyProtection="1">
      <alignment vertical="top" wrapText="1"/>
      <protection locked="0"/>
    </xf>
    <xf numFmtId="1" fontId="6" fillId="33" borderId="8" xfId="0" applyNumberFormat="1" applyFont="1" applyFill="1" applyBorder="1" applyAlignment="1" applyProtection="1">
      <alignment vertical="top" wrapText="1"/>
      <protection locked="0"/>
    </xf>
    <xf numFmtId="0" fontId="14" fillId="33" borderId="8" xfId="0" applyFont="1" applyFill="1" applyBorder="1" applyAlignment="1" applyProtection="1">
      <alignment horizontal="center" vertical="center" wrapText="1"/>
      <protection locked="0"/>
    </xf>
    <xf numFmtId="0" fontId="14" fillId="33" borderId="18" xfId="0" applyFont="1" applyFill="1" applyBorder="1" applyAlignment="1">
      <alignment horizontal="left" vertical="center" wrapText="1"/>
    </xf>
    <xf numFmtId="1" fontId="5" fillId="33" borderId="19" xfId="0" applyNumberFormat="1" applyFont="1" applyFill="1" applyBorder="1" applyAlignment="1" applyProtection="1">
      <alignment vertical="top" wrapText="1"/>
      <protection locked="0"/>
    </xf>
    <xf numFmtId="1" fontId="83" fillId="33" borderId="8" xfId="0" applyNumberFormat="1" applyFont="1" applyFill="1" applyBorder="1" applyAlignment="1">
      <alignment horizontal="right" vertical="center"/>
    </xf>
    <xf numFmtId="2" fontId="84" fillId="33" borderId="8" xfId="0" applyNumberFormat="1" applyFont="1" applyFill="1" applyBorder="1" applyAlignment="1">
      <alignment horizontal="right" vertical="center"/>
    </xf>
    <xf numFmtId="0" fontId="83" fillId="33" borderId="8" xfId="0" applyFont="1" applyFill="1" applyBorder="1" applyAlignment="1">
      <alignment vertical="center" wrapText="1"/>
    </xf>
    <xf numFmtId="0" fontId="14" fillId="33" borderId="8" xfId="0" applyFont="1" applyFill="1" applyBorder="1" applyAlignment="1">
      <alignment/>
    </xf>
    <xf numFmtId="0" fontId="14" fillId="33" borderId="8" xfId="0" applyFont="1" applyFill="1" applyBorder="1" applyAlignment="1">
      <alignment wrapText="1"/>
    </xf>
    <xf numFmtId="1" fontId="84" fillId="33" borderId="8" xfId="0" applyNumberFormat="1" applyFont="1" applyFill="1" applyBorder="1" applyAlignment="1">
      <alignment horizontal="right" vertical="center"/>
    </xf>
    <xf numFmtId="1" fontId="19" fillId="34" borderId="8" xfId="0" applyNumberFormat="1" applyFont="1" applyFill="1" applyBorder="1" applyAlignment="1">
      <alignment horizontal="right" vertical="center"/>
    </xf>
    <xf numFmtId="0" fontId="85" fillId="33" borderId="8" xfId="0" applyFont="1" applyFill="1" applyBorder="1" applyAlignment="1">
      <alignment vertical="center"/>
    </xf>
    <xf numFmtId="1" fontId="16" fillId="33" borderId="8" xfId="0" applyNumberFormat="1" applyFont="1" applyFill="1" applyBorder="1" applyAlignment="1">
      <alignment horizontal="right" vertical="center"/>
    </xf>
    <xf numFmtId="2" fontId="16" fillId="33" borderId="8" xfId="0" applyNumberFormat="1" applyFont="1" applyFill="1" applyBorder="1" applyAlignment="1">
      <alignment horizontal="right" vertical="center"/>
    </xf>
    <xf numFmtId="2" fontId="16" fillId="33" borderId="8" xfId="0" applyNumberFormat="1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1" fontId="14" fillId="33" borderId="8" xfId="0" applyNumberFormat="1" applyFont="1" applyFill="1" applyBorder="1" applyAlignment="1">
      <alignment vertical="center"/>
    </xf>
    <xf numFmtId="2" fontId="14" fillId="33" borderId="8" xfId="0" applyNumberFormat="1" applyFont="1" applyFill="1" applyBorder="1" applyAlignment="1">
      <alignment vertical="center"/>
    </xf>
    <xf numFmtId="0" fontId="14" fillId="33" borderId="18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14" fillId="33" borderId="0" xfId="0" applyFont="1" applyFill="1" applyBorder="1" applyAlignment="1">
      <alignment wrapText="1"/>
    </xf>
    <xf numFmtId="0" fontId="16" fillId="33" borderId="18" xfId="0" applyFont="1" applyFill="1" applyBorder="1" applyAlignment="1">
      <alignment vertical="center"/>
    </xf>
    <xf numFmtId="1" fontId="16" fillId="33" borderId="8" xfId="0" applyNumberFormat="1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2" fontId="14" fillId="33" borderId="0" xfId="0" applyNumberFormat="1" applyFont="1" applyFill="1" applyAlignment="1">
      <alignment vertical="center"/>
    </xf>
    <xf numFmtId="0" fontId="16" fillId="33" borderId="8" xfId="0" applyFont="1" applyFill="1" applyBorder="1" applyAlignment="1">
      <alignment horizontal="center" vertical="center"/>
    </xf>
    <xf numFmtId="2" fontId="16" fillId="33" borderId="8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1" fontId="14" fillId="33" borderId="0" xfId="0" applyNumberFormat="1" applyFont="1" applyFill="1" applyAlignment="1">
      <alignment vertical="center"/>
    </xf>
    <xf numFmtId="1" fontId="16" fillId="33" borderId="0" xfId="0" applyNumberFormat="1" applyFont="1" applyFill="1" applyAlignment="1">
      <alignment vertical="center"/>
    </xf>
    <xf numFmtId="1" fontId="16" fillId="33" borderId="8" xfId="0" applyNumberFormat="1" applyFont="1" applyFill="1" applyBorder="1" applyAlignment="1">
      <alignment horizontal="center" vertical="center"/>
    </xf>
    <xf numFmtId="2" fontId="3" fillId="33" borderId="8" xfId="0" applyNumberFormat="1" applyFont="1" applyFill="1" applyBorder="1" applyAlignment="1">
      <alignment horizontal="center" vertical="center" wrapText="1"/>
    </xf>
    <xf numFmtId="2" fontId="14" fillId="33" borderId="8" xfId="113" applyNumberFormat="1" applyFont="1" applyFill="1" applyBorder="1" applyAlignment="1">
      <alignment vertical="center"/>
    </xf>
    <xf numFmtId="2" fontId="16" fillId="33" borderId="8" xfId="113" applyNumberFormat="1" applyFont="1" applyFill="1" applyBorder="1" applyAlignment="1">
      <alignment vertical="center"/>
    </xf>
    <xf numFmtId="1" fontId="14" fillId="33" borderId="18" xfId="0" applyNumberFormat="1" applyFont="1" applyFill="1" applyBorder="1" applyAlignment="1">
      <alignment/>
    </xf>
    <xf numFmtId="1" fontId="14" fillId="33" borderId="20" xfId="0" applyNumberFormat="1" applyFont="1" applyFill="1" applyBorder="1" applyAlignment="1">
      <alignment/>
    </xf>
    <xf numFmtId="1" fontId="14" fillId="33" borderId="18" xfId="0" applyNumberFormat="1" applyFont="1" applyFill="1" applyBorder="1" applyAlignment="1">
      <alignment vertical="center"/>
    </xf>
    <xf numFmtId="1" fontId="14" fillId="33" borderId="0" xfId="0" applyNumberFormat="1" applyFont="1" applyFill="1" applyBorder="1" applyAlignment="1">
      <alignment wrapText="1"/>
    </xf>
    <xf numFmtId="1" fontId="16" fillId="33" borderId="8" xfId="0" applyNumberFormat="1" applyFont="1" applyFill="1" applyBorder="1" applyAlignment="1">
      <alignment horizontal="center" vertical="center"/>
    </xf>
    <xf numFmtId="1" fontId="14" fillId="33" borderId="8" xfId="0" applyNumberFormat="1" applyFont="1" applyFill="1" applyBorder="1" applyAlignment="1">
      <alignment horizontal="center" vertical="center"/>
    </xf>
    <xf numFmtId="1" fontId="14" fillId="33" borderId="8" xfId="0" applyNumberFormat="1" applyFont="1" applyFill="1" applyBorder="1" applyAlignment="1">
      <alignment vertical="center" wrapText="1"/>
    </xf>
    <xf numFmtId="1" fontId="16" fillId="33" borderId="18" xfId="0" applyNumberFormat="1" applyFont="1" applyFill="1" applyBorder="1" applyAlignment="1">
      <alignment vertical="center"/>
    </xf>
    <xf numFmtId="1" fontId="14" fillId="33" borderId="18" xfId="0" applyNumberFormat="1" applyFont="1" applyFill="1" applyBorder="1" applyAlignment="1">
      <alignment vertical="center" wrapText="1"/>
    </xf>
    <xf numFmtId="1" fontId="14" fillId="33" borderId="20" xfId="0" applyNumberFormat="1" applyFont="1" applyFill="1" applyBorder="1" applyAlignment="1">
      <alignment vertical="center"/>
    </xf>
    <xf numFmtId="1" fontId="16" fillId="33" borderId="8" xfId="108" applyNumberFormat="1" applyFont="1" applyFill="1" applyBorder="1" applyAlignment="1" applyProtection="1">
      <alignment horizontal="center" vertical="center" wrapText="1"/>
      <protection locked="0"/>
    </xf>
    <xf numFmtId="1" fontId="86" fillId="33" borderId="0" xfId="0" applyNumberFormat="1" applyFont="1" applyFill="1" applyAlignment="1">
      <alignment vertical="center"/>
    </xf>
    <xf numFmtId="1" fontId="85" fillId="33" borderId="8" xfId="0" applyNumberFormat="1" applyFont="1" applyFill="1" applyBorder="1" applyAlignment="1">
      <alignment vertical="center"/>
    </xf>
    <xf numFmtId="1" fontId="85" fillId="33" borderId="0" xfId="0" applyNumberFormat="1" applyFont="1" applyFill="1" applyAlignment="1">
      <alignment vertical="center"/>
    </xf>
    <xf numFmtId="0" fontId="86" fillId="33" borderId="0" xfId="0" applyFont="1" applyFill="1" applyAlignment="1">
      <alignment vertical="center"/>
    </xf>
    <xf numFmtId="10" fontId="86" fillId="33" borderId="0" xfId="0" applyNumberFormat="1" applyFont="1" applyFill="1" applyAlignment="1">
      <alignment vertical="center"/>
    </xf>
    <xf numFmtId="9" fontId="86" fillId="33" borderId="0" xfId="0" applyNumberFormat="1" applyFont="1" applyFill="1" applyAlignment="1">
      <alignment vertical="center"/>
    </xf>
    <xf numFmtId="1" fontId="2" fillId="33" borderId="8" xfId="0" applyNumberFormat="1" applyFont="1" applyFill="1" applyBorder="1" applyAlignment="1" applyProtection="1">
      <alignment horizontal="right" vertical="top" wrapText="1"/>
      <protection locked="0"/>
    </xf>
    <xf numFmtId="2" fontId="2" fillId="33" borderId="8" xfId="0" applyNumberFormat="1" applyFont="1" applyFill="1" applyBorder="1" applyAlignment="1" applyProtection="1">
      <alignment horizontal="right" vertical="top" wrapText="1"/>
      <protection locked="0"/>
    </xf>
    <xf numFmtId="1" fontId="3" fillId="33" borderId="8" xfId="0" applyNumberFormat="1" applyFont="1" applyFill="1" applyBorder="1" applyAlignment="1" applyProtection="1">
      <alignment horizontal="right" vertical="top" wrapText="1"/>
      <protection locked="0"/>
    </xf>
    <xf numFmtId="1" fontId="18" fillId="33" borderId="0" xfId="0" applyNumberFormat="1" applyFont="1" applyFill="1" applyAlignment="1" applyProtection="1">
      <alignment vertical="center"/>
      <protection locked="0"/>
    </xf>
    <xf numFmtId="1" fontId="6" fillId="33" borderId="0" xfId="0" applyNumberFormat="1" applyFont="1" applyFill="1" applyAlignment="1" applyProtection="1">
      <alignment vertical="center"/>
      <protection locked="0"/>
    </xf>
    <xf numFmtId="0" fontId="18" fillId="33" borderId="0" xfId="0" applyFont="1" applyFill="1" applyAlignment="1" applyProtection="1">
      <alignment vertical="center"/>
      <protection locked="0"/>
    </xf>
    <xf numFmtId="2" fontId="3" fillId="33" borderId="8" xfId="0" applyNumberFormat="1" applyFont="1" applyFill="1" applyBorder="1" applyAlignment="1" applyProtection="1">
      <alignment horizontal="right" vertical="top" wrapText="1"/>
      <protection locked="0"/>
    </xf>
    <xf numFmtId="0" fontId="6" fillId="33" borderId="0" xfId="0" applyFont="1" applyFill="1" applyAlignment="1" applyProtection="1">
      <alignment horizontal="center" vertical="center" wrapText="1"/>
      <protection locked="0"/>
    </xf>
    <xf numFmtId="1" fontId="6" fillId="37" borderId="0" xfId="0" applyNumberFormat="1" applyFont="1" applyFill="1" applyAlignment="1" applyProtection="1">
      <alignment vertical="center"/>
      <protection locked="0"/>
    </xf>
    <xf numFmtId="1" fontId="2" fillId="33" borderId="17" xfId="0" applyNumberFormat="1" applyFont="1" applyFill="1" applyBorder="1" applyAlignment="1" applyProtection="1">
      <alignment horizontal="right" vertical="center" wrapText="1"/>
      <protection locked="0"/>
    </xf>
    <xf numFmtId="2" fontId="2" fillId="33" borderId="0" xfId="0" applyNumberFormat="1" applyFont="1" applyFill="1" applyAlignment="1" applyProtection="1">
      <alignment horizontal="center" vertical="top" wrapText="1"/>
      <protection locked="0"/>
    </xf>
    <xf numFmtId="0" fontId="83" fillId="33" borderId="8" xfId="0" applyFont="1" applyFill="1" applyBorder="1" applyAlignment="1">
      <alignment horizontal="center" vertical="center"/>
    </xf>
    <xf numFmtId="0" fontId="83" fillId="33" borderId="8" xfId="0" applyFont="1" applyFill="1" applyBorder="1" applyAlignment="1">
      <alignment vertical="center"/>
    </xf>
    <xf numFmtId="2" fontId="84" fillId="33" borderId="8" xfId="0" applyNumberFormat="1" applyFont="1" applyFill="1" applyBorder="1" applyAlignment="1">
      <alignment vertical="center"/>
    </xf>
    <xf numFmtId="0" fontId="84" fillId="33" borderId="8" xfId="0" applyFont="1" applyFill="1" applyBorder="1" applyAlignment="1">
      <alignment horizontal="center" vertical="center"/>
    </xf>
    <xf numFmtId="0" fontId="84" fillId="33" borderId="8" xfId="0" applyFont="1" applyFill="1" applyBorder="1" applyAlignment="1">
      <alignment vertical="center"/>
    </xf>
    <xf numFmtId="0" fontId="2" fillId="33" borderId="0" xfId="0" applyFont="1" applyFill="1" applyAlignment="1" applyProtection="1">
      <alignment vertical="center" wrapText="1"/>
      <protection locked="0"/>
    </xf>
    <xf numFmtId="1" fontId="2" fillId="33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33" borderId="0" xfId="0" applyNumberFormat="1" applyFont="1" applyFill="1" applyAlignment="1" applyProtection="1">
      <alignment horizontal="center" vertical="top" wrapText="1"/>
      <protection locked="0"/>
    </xf>
    <xf numFmtId="1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vertical="top" wrapText="1"/>
      <protection locked="0"/>
    </xf>
    <xf numFmtId="0" fontId="2" fillId="33" borderId="0" xfId="0" applyFont="1" applyFill="1" applyAlignment="1" applyProtection="1">
      <alignment horizontal="center" vertical="top" wrapText="1"/>
      <protection locked="0"/>
    </xf>
    <xf numFmtId="0" fontId="83" fillId="33" borderId="0" xfId="0" applyFont="1" applyFill="1" applyAlignment="1">
      <alignment vertical="center"/>
    </xf>
    <xf numFmtId="0" fontId="84" fillId="33" borderId="0" xfId="0" applyFont="1" applyFill="1" applyBorder="1" applyAlignment="1">
      <alignment horizontal="center" vertical="center" wrapText="1"/>
    </xf>
    <xf numFmtId="2" fontId="83" fillId="33" borderId="8" xfId="0" applyNumberFormat="1" applyFont="1" applyFill="1" applyBorder="1" applyAlignment="1">
      <alignment vertical="center"/>
    </xf>
    <xf numFmtId="0" fontId="84" fillId="33" borderId="0" xfId="0" applyFont="1" applyFill="1" applyAlignment="1">
      <alignment vertical="center"/>
    </xf>
    <xf numFmtId="0" fontId="15" fillId="33" borderId="0" xfId="0" applyFont="1" applyFill="1" applyAlignment="1" applyProtection="1">
      <alignment vertical="center"/>
      <protection locked="0"/>
    </xf>
    <xf numFmtId="1" fontId="84" fillId="33" borderId="0" xfId="0" applyNumberFormat="1" applyFont="1" applyFill="1" applyAlignment="1">
      <alignment vertical="center"/>
    </xf>
    <xf numFmtId="1" fontId="83" fillId="33" borderId="0" xfId="0" applyNumberFormat="1" applyFont="1" applyFill="1" applyAlignment="1">
      <alignment vertical="center"/>
    </xf>
    <xf numFmtId="2" fontId="84" fillId="33" borderId="0" xfId="0" applyNumberFormat="1" applyFont="1" applyFill="1" applyAlignment="1">
      <alignment vertical="center"/>
    </xf>
    <xf numFmtId="2" fontId="83" fillId="33" borderId="0" xfId="0" applyNumberFormat="1" applyFont="1" applyFill="1" applyAlignment="1">
      <alignment vertical="center"/>
    </xf>
    <xf numFmtId="1" fontId="84" fillId="33" borderId="8" xfId="0" applyNumberFormat="1" applyFont="1" applyFill="1" applyBorder="1" applyAlignment="1">
      <alignment horizontal="center" vertical="center"/>
    </xf>
    <xf numFmtId="0" fontId="85" fillId="33" borderId="0" xfId="0" applyFont="1" applyFill="1" applyAlignment="1">
      <alignment vertical="center"/>
    </xf>
    <xf numFmtId="0" fontId="83" fillId="33" borderId="18" xfId="0" applyFont="1" applyFill="1" applyBorder="1" applyAlignment="1">
      <alignment vertical="center"/>
    </xf>
    <xf numFmtId="1" fontId="83" fillId="33" borderId="8" xfId="0" applyNumberFormat="1" applyFont="1" applyFill="1" applyBorder="1" applyAlignment="1">
      <alignment vertical="center"/>
    </xf>
    <xf numFmtId="0" fontId="83" fillId="33" borderId="18" xfId="0" applyFont="1" applyFill="1" applyBorder="1" applyAlignment="1">
      <alignment vertical="center" wrapText="1"/>
    </xf>
    <xf numFmtId="0" fontId="84" fillId="33" borderId="18" xfId="0" applyFont="1" applyFill="1" applyBorder="1" applyAlignment="1">
      <alignment vertical="center"/>
    </xf>
    <xf numFmtId="1" fontId="84" fillId="33" borderId="8" xfId="0" applyNumberFormat="1" applyFont="1" applyFill="1" applyBorder="1" applyAlignment="1">
      <alignment vertical="center"/>
    </xf>
    <xf numFmtId="0" fontId="83" fillId="33" borderId="20" xfId="0" applyFont="1" applyFill="1" applyBorder="1" applyAlignment="1">
      <alignment vertical="center"/>
    </xf>
    <xf numFmtId="1" fontId="87" fillId="33" borderId="0" xfId="0" applyNumberFormat="1" applyFont="1" applyFill="1" applyAlignment="1">
      <alignment vertical="center"/>
    </xf>
    <xf numFmtId="1" fontId="84" fillId="33" borderId="8" xfId="0" applyNumberFormat="1" applyFont="1" applyFill="1" applyBorder="1" applyAlignment="1">
      <alignment horizontal="center" vertical="center" wrapText="1"/>
    </xf>
    <xf numFmtId="0" fontId="83" fillId="33" borderId="0" xfId="0" applyFont="1" applyFill="1" applyAlignment="1">
      <alignment vertical="center" wrapText="1"/>
    </xf>
    <xf numFmtId="1" fontId="21" fillId="33" borderId="0" xfId="0" applyNumberFormat="1" applyFont="1" applyFill="1" applyAlignment="1">
      <alignment vertical="center"/>
    </xf>
    <xf numFmtId="1" fontId="88" fillId="33" borderId="0" xfId="0" applyNumberFormat="1" applyFont="1" applyFill="1" applyAlignment="1" applyProtection="1">
      <alignment horizontal="right" vertical="center"/>
      <protection locked="0"/>
    </xf>
    <xf numFmtId="2" fontId="88" fillId="33" borderId="0" xfId="0" applyNumberFormat="1" applyFont="1" applyFill="1" applyAlignment="1" applyProtection="1">
      <alignment horizontal="right" vertical="center"/>
      <protection locked="0"/>
    </xf>
    <xf numFmtId="1" fontId="88" fillId="33" borderId="0" xfId="0" applyNumberFormat="1" applyFont="1" applyFill="1" applyAlignment="1" applyProtection="1">
      <alignment vertical="center"/>
      <protection locked="0"/>
    </xf>
    <xf numFmtId="0" fontId="88" fillId="33" borderId="0" xfId="0" applyFont="1" applyFill="1" applyAlignment="1" applyProtection="1">
      <alignment vertical="center"/>
      <protection locked="0"/>
    </xf>
    <xf numFmtId="0" fontId="88" fillId="33" borderId="0" xfId="0" applyFont="1" applyFill="1" applyAlignment="1" applyProtection="1">
      <alignment horizontal="center" vertical="center"/>
      <protection locked="0"/>
    </xf>
    <xf numFmtId="0" fontId="89" fillId="33" borderId="0" xfId="0" applyFont="1" applyFill="1" applyAlignment="1" applyProtection="1">
      <alignment vertical="center"/>
      <protection locked="0"/>
    </xf>
    <xf numFmtId="1" fontId="2" fillId="33" borderId="0" xfId="0" applyNumberFormat="1" applyFont="1" applyFill="1" applyAlignment="1">
      <alignment vertical="center"/>
    </xf>
    <xf numFmtId="1" fontId="6" fillId="33" borderId="0" xfId="0" applyNumberFormat="1" applyFont="1" applyFill="1" applyAlignment="1" applyProtection="1">
      <alignment vertical="top"/>
      <protection locked="0"/>
    </xf>
    <xf numFmtId="1" fontId="6" fillId="33" borderId="0" xfId="0" applyNumberFormat="1" applyFont="1" applyFill="1" applyAlignment="1" applyProtection="1">
      <alignment horizontal="center" vertical="top" wrapText="1"/>
      <protection locked="0"/>
    </xf>
    <xf numFmtId="1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83" fillId="0" borderId="8" xfId="0" applyNumberFormat="1" applyFont="1" applyBorder="1" applyAlignment="1">
      <alignment horizontal="center" vertical="center"/>
    </xf>
    <xf numFmtId="1" fontId="83" fillId="0" borderId="8" xfId="0" applyNumberFormat="1" applyFont="1" applyBorder="1" applyAlignment="1">
      <alignment vertical="center"/>
    </xf>
    <xf numFmtId="1" fontId="83" fillId="0" borderId="18" xfId="0" applyNumberFormat="1" applyFont="1" applyBorder="1" applyAlignment="1">
      <alignment vertical="center"/>
    </xf>
    <xf numFmtId="1" fontId="83" fillId="0" borderId="18" xfId="0" applyNumberFormat="1" applyFont="1" applyBorder="1" applyAlignment="1">
      <alignment vertical="center" wrapText="1"/>
    </xf>
    <xf numFmtId="1" fontId="84" fillId="0" borderId="8" xfId="0" applyNumberFormat="1" applyFont="1" applyBorder="1" applyAlignment="1">
      <alignment horizontal="center" vertical="center"/>
    </xf>
    <xf numFmtId="1" fontId="84" fillId="0" borderId="18" xfId="0" applyNumberFormat="1" applyFont="1" applyBorder="1" applyAlignment="1">
      <alignment vertical="center"/>
    </xf>
    <xf numFmtId="1" fontId="5" fillId="33" borderId="8" xfId="0" applyNumberFormat="1" applyFont="1" applyFill="1" applyBorder="1" applyAlignment="1" applyProtection="1">
      <alignment vertical="top" wrapText="1"/>
      <protection locked="0"/>
    </xf>
    <xf numFmtId="1" fontId="83" fillId="0" borderId="20" xfId="0" applyNumberFormat="1" applyFont="1" applyBorder="1" applyAlignment="1">
      <alignment vertical="center"/>
    </xf>
    <xf numFmtId="1" fontId="84" fillId="0" borderId="8" xfId="0" applyNumberFormat="1" applyFont="1" applyBorder="1" applyAlignment="1">
      <alignment vertical="center"/>
    </xf>
    <xf numFmtId="1" fontId="2" fillId="33" borderId="0" xfId="0" applyNumberFormat="1" applyFont="1" applyFill="1" applyAlignment="1">
      <alignment vertical="center" wrapText="1"/>
    </xf>
    <xf numFmtId="1" fontId="2" fillId="33" borderId="0" xfId="0" applyNumberFormat="1" applyFont="1" applyFill="1" applyAlignment="1" applyProtection="1">
      <alignment horizontal="center" vertical="center" wrapText="1"/>
      <protection locked="0"/>
    </xf>
    <xf numFmtId="1" fontId="3" fillId="33" borderId="0" xfId="0" applyNumberFormat="1" applyFont="1" applyFill="1" applyAlignment="1" applyProtection="1">
      <alignment vertical="center" wrapText="1"/>
      <protection locked="0"/>
    </xf>
    <xf numFmtId="1" fontId="2" fillId="33" borderId="0" xfId="0" applyNumberFormat="1" applyFont="1" applyFill="1" applyAlignment="1" applyProtection="1">
      <alignment vertical="center" wrapText="1"/>
      <protection locked="0"/>
    </xf>
    <xf numFmtId="2" fontId="2" fillId="33" borderId="0" xfId="0" applyNumberFormat="1" applyFont="1" applyFill="1" applyAlignment="1">
      <alignment vertical="center" wrapText="1"/>
    </xf>
    <xf numFmtId="1" fontId="16" fillId="33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33" borderId="9" xfId="0" applyNumberFormat="1" applyFont="1" applyFill="1" applyBorder="1" applyAlignment="1" applyProtection="1">
      <alignment horizontal="right" vertical="center" wrapText="1"/>
      <protection locked="0"/>
    </xf>
    <xf numFmtId="1" fontId="14" fillId="33" borderId="9" xfId="0" applyNumberFormat="1" applyFont="1" applyFill="1" applyBorder="1" applyAlignment="1" applyProtection="1">
      <alignment horizontal="right" vertical="center" wrapText="1"/>
      <protection/>
    </xf>
    <xf numFmtId="1" fontId="14" fillId="33" borderId="22" xfId="0" applyNumberFormat="1" applyFont="1" applyFill="1" applyBorder="1" applyAlignment="1" applyProtection="1">
      <alignment horizontal="right" vertical="center" wrapText="1"/>
      <protection/>
    </xf>
    <xf numFmtId="1" fontId="14" fillId="33" borderId="23" xfId="0" applyNumberFormat="1" applyFont="1" applyFill="1" applyBorder="1" applyAlignment="1" applyProtection="1">
      <alignment horizontal="right" vertical="center" wrapText="1"/>
      <protection locked="0"/>
    </xf>
    <xf numFmtId="2" fontId="14" fillId="33" borderId="23" xfId="0" applyNumberFormat="1" applyFont="1" applyFill="1" applyBorder="1" applyAlignment="1">
      <alignment vertical="center" wrapText="1"/>
    </xf>
    <xf numFmtId="1" fontId="14" fillId="33" borderId="0" xfId="0" applyNumberFormat="1" applyFont="1" applyFill="1" applyBorder="1" applyAlignment="1">
      <alignment vertical="center" wrapText="1"/>
    </xf>
    <xf numFmtId="1" fontId="16" fillId="33" borderId="8" xfId="0" applyNumberFormat="1" applyFont="1" applyFill="1" applyBorder="1" applyAlignment="1">
      <alignment vertical="center" wrapText="1"/>
    </xf>
    <xf numFmtId="0" fontId="83" fillId="0" borderId="8" xfId="0" applyFont="1" applyBorder="1" applyAlignment="1">
      <alignment horizontal="center" vertical="center"/>
    </xf>
    <xf numFmtId="0" fontId="83" fillId="0" borderId="18" xfId="0" applyFont="1" applyBorder="1" applyAlignment="1">
      <alignment vertical="center"/>
    </xf>
    <xf numFmtId="1" fontId="14" fillId="33" borderId="8" xfId="0" applyNumberFormat="1" applyFont="1" applyFill="1" applyBorder="1" applyAlignment="1">
      <alignment vertical="top" wrapText="1"/>
    </xf>
    <xf numFmtId="0" fontId="83" fillId="0" borderId="18" xfId="0" applyFont="1" applyBorder="1" applyAlignment="1">
      <alignment vertical="center" wrapText="1"/>
    </xf>
    <xf numFmtId="0" fontId="84" fillId="0" borderId="8" xfId="0" applyFont="1" applyBorder="1" applyAlignment="1">
      <alignment horizontal="center" vertical="center"/>
    </xf>
    <xf numFmtId="0" fontId="84" fillId="0" borderId="18" xfId="0" applyFont="1" applyBorder="1" applyAlignment="1">
      <alignment vertical="center"/>
    </xf>
    <xf numFmtId="1" fontId="16" fillId="33" borderId="8" xfId="0" applyNumberFormat="1" applyFont="1" applyFill="1" applyBorder="1" applyAlignment="1">
      <alignment vertical="top" wrapText="1"/>
    </xf>
    <xf numFmtId="0" fontId="83" fillId="0" borderId="8" xfId="0" applyFont="1" applyBorder="1" applyAlignment="1">
      <alignment vertical="center"/>
    </xf>
    <xf numFmtId="0" fontId="83" fillId="0" borderId="20" xfId="0" applyFont="1" applyBorder="1" applyAlignment="1">
      <alignment vertical="center"/>
    </xf>
    <xf numFmtId="0" fontId="84" fillId="0" borderId="8" xfId="0" applyFont="1" applyBorder="1" applyAlignment="1">
      <alignment vertical="center"/>
    </xf>
    <xf numFmtId="2" fontId="5" fillId="33" borderId="8" xfId="0" applyNumberFormat="1" applyFont="1" applyFill="1" applyBorder="1" applyAlignment="1" applyProtection="1">
      <alignment vertical="top" wrapText="1"/>
      <protection locked="0"/>
    </xf>
    <xf numFmtId="1" fontId="83" fillId="33" borderId="8" xfId="0" applyNumberFormat="1" applyFont="1" applyFill="1" applyBorder="1" applyAlignment="1">
      <alignment horizontal="center" vertical="center"/>
    </xf>
    <xf numFmtId="1" fontId="83" fillId="33" borderId="18" xfId="0" applyNumberFormat="1" applyFont="1" applyFill="1" applyBorder="1" applyAlignment="1">
      <alignment vertical="center"/>
    </xf>
    <xf numFmtId="1" fontId="83" fillId="33" borderId="18" xfId="0" applyNumberFormat="1" applyFont="1" applyFill="1" applyBorder="1" applyAlignment="1">
      <alignment vertical="center" wrapText="1"/>
    </xf>
    <xf numFmtId="1" fontId="84" fillId="33" borderId="18" xfId="0" applyNumberFormat="1" applyFont="1" applyFill="1" applyBorder="1" applyAlignment="1">
      <alignment vertical="center"/>
    </xf>
    <xf numFmtId="1" fontId="83" fillId="33" borderId="20" xfId="0" applyNumberFormat="1" applyFont="1" applyFill="1" applyBorder="1" applyAlignment="1">
      <alignment vertical="center"/>
    </xf>
    <xf numFmtId="1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8" xfId="0" applyFont="1" applyFill="1" applyBorder="1" applyAlignment="1">
      <alignment horizontal="center" vertical="center"/>
    </xf>
    <xf numFmtId="1" fontId="84" fillId="33" borderId="8" xfId="0" applyNumberFormat="1" applyFont="1" applyFill="1" applyBorder="1" applyAlignment="1">
      <alignment horizontal="center" vertical="center"/>
    </xf>
    <xf numFmtId="1" fontId="5" fillId="33" borderId="8" xfId="0" applyNumberFormat="1" applyFont="1" applyFill="1" applyBorder="1" applyAlignment="1" applyProtection="1">
      <alignment horizontal="center" vertical="center" wrapText="1"/>
      <protection locked="0"/>
    </xf>
    <xf numFmtId="2" fontId="16" fillId="33" borderId="8" xfId="0" applyNumberFormat="1" applyFont="1" applyFill="1" applyBorder="1" applyAlignment="1">
      <alignment vertical="center" wrapText="1"/>
    </xf>
    <xf numFmtId="2" fontId="16" fillId="33" borderId="23" xfId="0" applyNumberFormat="1" applyFont="1" applyFill="1" applyBorder="1" applyAlignment="1">
      <alignment vertical="center" wrapText="1"/>
    </xf>
    <xf numFmtId="1" fontId="16" fillId="33" borderId="23" xfId="0" applyNumberFormat="1" applyFont="1" applyFill="1" applyBorder="1" applyAlignment="1" applyProtection="1">
      <alignment horizontal="right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8" xfId="0" applyNumberFormat="1" applyFont="1" applyFill="1" applyBorder="1" applyAlignment="1">
      <alignment vertical="top" wrapText="1"/>
    </xf>
    <xf numFmtId="1" fontId="5" fillId="33" borderId="0" xfId="0" applyNumberFormat="1" applyFont="1" applyFill="1" applyBorder="1" applyAlignment="1" applyProtection="1">
      <alignment horizontal="center" vertical="top" wrapText="1"/>
      <protection locked="0"/>
    </xf>
    <xf numFmtId="1" fontId="3" fillId="33" borderId="8" xfId="0" applyNumberFormat="1" applyFont="1" applyFill="1" applyBorder="1" applyAlignment="1">
      <alignment vertical="top" wrapText="1"/>
    </xf>
    <xf numFmtId="2" fontId="3" fillId="33" borderId="8" xfId="0" applyNumberFormat="1" applyFont="1" applyFill="1" applyBorder="1" applyAlignment="1">
      <alignment vertical="top" wrapText="1"/>
    </xf>
    <xf numFmtId="0" fontId="14" fillId="33" borderId="8" xfId="0" applyFont="1" applyFill="1" applyBorder="1" applyAlignment="1">
      <alignment vertical="center" wrapText="1"/>
    </xf>
    <xf numFmtId="0" fontId="3" fillId="33" borderId="0" xfId="0" applyFont="1" applyFill="1" applyAlignment="1">
      <alignment vertical="top" wrapText="1"/>
    </xf>
    <xf numFmtId="1" fontId="16" fillId="33" borderId="8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14" fillId="33" borderId="8" xfId="0" applyNumberFormat="1" applyFont="1" applyFill="1" applyBorder="1" applyAlignment="1" applyProtection="1">
      <alignment vertical="top" wrapText="1"/>
      <protection locked="0"/>
    </xf>
    <xf numFmtId="0" fontId="83" fillId="0" borderId="8" xfId="0" applyFont="1" applyBorder="1" applyAlignment="1">
      <alignment vertical="center" wrapText="1"/>
    </xf>
    <xf numFmtId="0" fontId="83" fillId="0" borderId="17" xfId="0" applyFont="1" applyBorder="1" applyAlignment="1">
      <alignment vertical="center"/>
    </xf>
    <xf numFmtId="1" fontId="16" fillId="33" borderId="8" xfId="0" applyNumberFormat="1" applyFont="1" applyFill="1" applyBorder="1" applyAlignment="1" applyProtection="1">
      <alignment vertical="top" wrapText="1"/>
      <protection locked="0"/>
    </xf>
    <xf numFmtId="0" fontId="83" fillId="0" borderId="24" xfId="0" applyFont="1" applyBorder="1" applyAlignment="1">
      <alignment horizontal="center" vertical="center"/>
    </xf>
    <xf numFmtId="0" fontId="83" fillId="0" borderId="24" xfId="0" applyFont="1" applyBorder="1" applyAlignment="1">
      <alignment vertical="center"/>
    </xf>
    <xf numFmtId="1" fontId="14" fillId="33" borderId="24" xfId="0" applyNumberFormat="1" applyFont="1" applyFill="1" applyBorder="1" applyAlignment="1" applyProtection="1">
      <alignment vertical="top" wrapText="1"/>
      <protection locked="0"/>
    </xf>
    <xf numFmtId="2" fontId="9" fillId="33" borderId="0" xfId="0" applyNumberFormat="1" applyFont="1" applyFill="1" applyAlignment="1" applyProtection="1">
      <alignment vertical="top" wrapText="1"/>
      <protection locked="0"/>
    </xf>
    <xf numFmtId="1" fontId="9" fillId="33" borderId="0" xfId="0" applyNumberFormat="1" applyFont="1" applyFill="1" applyAlignment="1" applyProtection="1">
      <alignment vertical="top" wrapText="1"/>
      <protection locked="0"/>
    </xf>
    <xf numFmtId="0" fontId="16" fillId="33" borderId="8" xfId="0" applyFont="1" applyFill="1" applyBorder="1" applyAlignment="1" applyProtection="1">
      <alignment horizontal="center" vertical="center" wrapText="1"/>
      <protection locked="0"/>
    </xf>
    <xf numFmtId="0" fontId="16" fillId="33" borderId="8" xfId="0" applyFont="1" applyFill="1" applyBorder="1" applyAlignment="1">
      <alignment horizontal="center" vertical="center"/>
    </xf>
    <xf numFmtId="0" fontId="84" fillId="33" borderId="8" xfId="0" applyFont="1" applyFill="1" applyBorder="1" applyAlignment="1">
      <alignment horizontal="center" vertical="center"/>
    </xf>
    <xf numFmtId="1" fontId="84" fillId="33" borderId="8" xfId="0" applyNumberFormat="1" applyFont="1" applyFill="1" applyBorder="1" applyAlignment="1">
      <alignment horizontal="center" vertical="center"/>
    </xf>
    <xf numFmtId="1" fontId="16" fillId="33" borderId="8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23" xfId="0" applyFont="1" applyBorder="1" applyAlignment="1">
      <alignment vertical="center"/>
    </xf>
    <xf numFmtId="0" fontId="14" fillId="33" borderId="0" xfId="108" applyFont="1" applyFill="1" applyBorder="1" applyAlignment="1" applyProtection="1">
      <alignment horizontal="center" vertical="top" wrapText="1"/>
      <protection locked="0"/>
    </xf>
    <xf numFmtId="0" fontId="16" fillId="33" borderId="0" xfId="108" applyFont="1" applyFill="1" applyBorder="1" applyAlignment="1">
      <alignment/>
      <protection/>
    </xf>
    <xf numFmtId="1" fontId="6" fillId="33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 applyProtection="1">
      <alignment vertical="top" wrapText="1"/>
      <protection locked="0"/>
    </xf>
    <xf numFmtId="0" fontId="14" fillId="33" borderId="0" xfId="108" applyFont="1" applyFill="1" applyBorder="1" applyAlignment="1">
      <alignment/>
      <protection/>
    </xf>
    <xf numFmtId="1" fontId="5" fillId="33" borderId="0" xfId="0" applyNumberFormat="1" applyFont="1" applyFill="1" applyAlignment="1" applyProtection="1">
      <alignment vertical="center"/>
      <protection locked="0"/>
    </xf>
    <xf numFmtId="1" fontId="2" fillId="0" borderId="0" xfId="0" applyNumberFormat="1" applyFont="1" applyAlignment="1">
      <alignment vertical="top" wrapText="1"/>
    </xf>
    <xf numFmtId="1" fontId="3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" fontId="3" fillId="0" borderId="8" xfId="0" applyNumberFormat="1" applyFont="1" applyBorder="1" applyAlignment="1">
      <alignment vertical="top" wrapText="1"/>
    </xf>
    <xf numFmtId="1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" fontId="14" fillId="33" borderId="8" xfId="0" applyNumberFormat="1" applyFont="1" applyFill="1" applyBorder="1" applyAlignment="1" applyProtection="1">
      <alignment vertical="top" wrapText="1"/>
      <protection locked="0"/>
    </xf>
    <xf numFmtId="1" fontId="14" fillId="33" borderId="8" xfId="0" applyNumberFormat="1" applyFont="1" applyFill="1" applyBorder="1" applyAlignment="1" applyProtection="1">
      <alignment vertical="center" wrapText="1"/>
      <protection locked="0"/>
    </xf>
    <xf numFmtId="0" fontId="14" fillId="33" borderId="8" xfId="0" applyFont="1" applyFill="1" applyBorder="1" applyAlignment="1" applyProtection="1">
      <alignment vertical="top" wrapText="1"/>
      <protection locked="0"/>
    </xf>
    <xf numFmtId="1" fontId="14" fillId="33" borderId="8" xfId="70" applyNumberFormat="1" applyFont="1" applyFill="1" applyBorder="1" applyAlignment="1" applyProtection="1">
      <alignment vertical="top" wrapText="1"/>
      <protection locked="0"/>
    </xf>
    <xf numFmtId="1" fontId="14" fillId="33" borderId="8" xfId="70" applyNumberFormat="1" applyFont="1" applyFill="1" applyBorder="1" applyAlignment="1" applyProtection="1">
      <alignment vertical="center" wrapText="1"/>
      <protection locked="0"/>
    </xf>
    <xf numFmtId="1" fontId="16" fillId="34" borderId="8" xfId="75" applyNumberFormat="1" applyFont="1" applyFill="1" applyBorder="1" applyAlignment="1" applyProtection="1">
      <alignment vertical="top" wrapText="1"/>
      <protection locked="0"/>
    </xf>
    <xf numFmtId="2" fontId="5" fillId="33" borderId="0" xfId="0" applyNumberFormat="1" applyFont="1" applyFill="1" applyBorder="1" applyAlignment="1" applyProtection="1">
      <alignment horizontal="center" vertical="top" wrapText="1"/>
      <protection locked="0"/>
    </xf>
    <xf numFmtId="1" fontId="3" fillId="33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8" xfId="0" applyNumberFormat="1" applyFont="1" applyFill="1" applyBorder="1" applyAlignment="1" applyProtection="1">
      <alignment vertical="top" wrapText="1"/>
      <protection locked="0"/>
    </xf>
    <xf numFmtId="1" fontId="2" fillId="33" borderId="18" xfId="0" applyNumberFormat="1" applyFont="1" applyFill="1" applyBorder="1" applyAlignment="1">
      <alignment/>
    </xf>
    <xf numFmtId="1" fontId="2" fillId="33" borderId="20" xfId="0" applyNumberFormat="1" applyFont="1" applyFill="1" applyBorder="1" applyAlignment="1">
      <alignment/>
    </xf>
    <xf numFmtId="1" fontId="2" fillId="33" borderId="18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wrapText="1"/>
    </xf>
    <xf numFmtId="0" fontId="14" fillId="34" borderId="8" xfId="0" applyFont="1" applyFill="1" applyBorder="1" applyAlignment="1" applyProtection="1">
      <alignment vertical="top" wrapText="1"/>
      <protection locked="0"/>
    </xf>
    <xf numFmtId="2" fontId="16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16" fillId="33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vertical="top" wrapText="1"/>
    </xf>
    <xf numFmtId="0" fontId="90" fillId="33" borderId="0" xfId="0" applyFont="1" applyFill="1" applyAlignment="1">
      <alignment vertical="top" wrapText="1"/>
    </xf>
    <xf numFmtId="1" fontId="9" fillId="33" borderId="0" xfId="0" applyNumberFormat="1" applyFont="1" applyFill="1" applyAlignment="1">
      <alignment vertical="top" wrapText="1"/>
    </xf>
    <xf numFmtId="1" fontId="91" fillId="33" borderId="8" xfId="0" applyNumberFormat="1" applyFont="1" applyFill="1" applyBorder="1" applyAlignment="1">
      <alignment horizontal="center" vertical="center"/>
    </xf>
    <xf numFmtId="1" fontId="91" fillId="33" borderId="18" xfId="0" applyNumberFormat="1" applyFont="1" applyFill="1" applyBorder="1" applyAlignment="1">
      <alignment vertical="center"/>
    </xf>
    <xf numFmtId="1" fontId="91" fillId="33" borderId="18" xfId="0" applyNumberFormat="1" applyFont="1" applyFill="1" applyBorder="1" applyAlignment="1">
      <alignment vertical="center" wrapText="1"/>
    </xf>
    <xf numFmtId="1" fontId="92" fillId="33" borderId="8" xfId="0" applyNumberFormat="1" applyFont="1" applyFill="1" applyBorder="1" applyAlignment="1">
      <alignment horizontal="center" vertical="center"/>
    </xf>
    <xf numFmtId="1" fontId="92" fillId="33" borderId="18" xfId="0" applyNumberFormat="1" applyFont="1" applyFill="1" applyBorder="1" applyAlignment="1">
      <alignment vertical="center"/>
    </xf>
    <xf numFmtId="1" fontId="91" fillId="33" borderId="8" xfId="0" applyNumberFormat="1" applyFont="1" applyFill="1" applyBorder="1" applyAlignment="1">
      <alignment vertical="center"/>
    </xf>
    <xf numFmtId="1" fontId="2" fillId="33" borderId="25" xfId="0" applyNumberFormat="1" applyFont="1" applyFill="1" applyBorder="1" applyAlignment="1">
      <alignment vertical="top" wrapText="1"/>
    </xf>
    <xf numFmtId="1" fontId="90" fillId="33" borderId="8" xfId="0" applyNumberFormat="1" applyFont="1" applyFill="1" applyBorder="1" applyAlignment="1">
      <alignment vertical="top" wrapText="1"/>
    </xf>
    <xf numFmtId="1" fontId="91" fillId="33" borderId="20" xfId="0" applyNumberFormat="1" applyFont="1" applyFill="1" applyBorder="1" applyAlignment="1">
      <alignment vertical="center"/>
    </xf>
    <xf numFmtId="1" fontId="92" fillId="33" borderId="8" xfId="0" applyNumberFormat="1" applyFont="1" applyFill="1" applyBorder="1" applyAlignment="1">
      <alignment vertical="center"/>
    </xf>
    <xf numFmtId="1" fontId="90" fillId="33" borderId="0" xfId="0" applyNumberFormat="1" applyFont="1" applyFill="1" applyAlignment="1">
      <alignment vertical="top" wrapText="1"/>
    </xf>
    <xf numFmtId="1" fontId="14" fillId="34" borderId="8" xfId="0" applyNumberFormat="1" applyFont="1" applyFill="1" applyBorder="1" applyAlignment="1" applyProtection="1">
      <alignment horizontal="right" vertical="center" wrapText="1"/>
      <protection locked="0"/>
    </xf>
    <xf numFmtId="1" fontId="16" fillId="34" borderId="8" xfId="0" applyNumberFormat="1" applyFont="1" applyFill="1" applyBorder="1" applyAlignment="1" applyProtection="1">
      <alignment horizontal="right" vertical="center" wrapText="1"/>
      <protection/>
    </xf>
    <xf numFmtId="1" fontId="5" fillId="33" borderId="8" xfId="0" applyNumberFormat="1" applyFont="1" applyFill="1" applyBorder="1" applyAlignment="1" applyProtection="1">
      <alignment horizontal="right" vertical="center" wrapText="1"/>
      <protection locked="0"/>
    </xf>
    <xf numFmtId="0" fontId="84" fillId="33" borderId="8" xfId="0" applyFont="1" applyFill="1" applyBorder="1" applyAlignment="1">
      <alignment horizontal="center" vertical="center"/>
    </xf>
    <xf numFmtId="1" fontId="16" fillId="33" borderId="9" xfId="0" applyNumberFormat="1" applyFont="1" applyFill="1" applyBorder="1" applyAlignment="1" applyProtection="1">
      <alignment horizontal="center" vertical="center" wrapText="1"/>
      <protection locked="0"/>
    </xf>
    <xf numFmtId="1" fontId="93" fillId="33" borderId="0" xfId="0" applyNumberFormat="1" applyFont="1" applyFill="1" applyAlignment="1">
      <alignment vertical="top" wrapText="1"/>
    </xf>
    <xf numFmtId="1" fontId="15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Alignment="1">
      <alignment horizontal="center" vertical="center" wrapText="1"/>
    </xf>
    <xf numFmtId="2" fontId="5" fillId="33" borderId="0" xfId="0" applyNumberFormat="1" applyFont="1" applyFill="1" applyBorder="1" applyAlignment="1" applyProtection="1">
      <alignment vertical="center"/>
      <protection locked="0"/>
    </xf>
    <xf numFmtId="0" fontId="91" fillId="0" borderId="0" xfId="0" applyFont="1" applyAlignment="1">
      <alignment vertical="center"/>
    </xf>
    <xf numFmtId="0" fontId="91" fillId="0" borderId="26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1" fillId="0" borderId="27" xfId="0" applyFont="1" applyBorder="1" applyAlignment="1">
      <alignment vertical="center"/>
    </xf>
    <xf numFmtId="0" fontId="92" fillId="0" borderId="18" xfId="0" applyFont="1" applyBorder="1" applyAlignment="1">
      <alignment vertical="center"/>
    </xf>
    <xf numFmtId="0" fontId="91" fillId="0" borderId="28" xfId="0" applyFont="1" applyBorder="1" applyAlignment="1">
      <alignment vertical="center"/>
    </xf>
    <xf numFmtId="0" fontId="91" fillId="0" borderId="25" xfId="0" applyFont="1" applyBorder="1" applyAlignment="1">
      <alignment vertical="center"/>
    </xf>
    <xf numFmtId="0" fontId="91" fillId="0" borderId="29" xfId="0" applyFont="1" applyBorder="1" applyAlignment="1">
      <alignment vertical="center"/>
    </xf>
    <xf numFmtId="0" fontId="91" fillId="0" borderId="19" xfId="0" applyFont="1" applyBorder="1" applyAlignment="1">
      <alignment vertical="center"/>
    </xf>
    <xf numFmtId="0" fontId="91" fillId="0" borderId="30" xfId="0" applyFont="1" applyBorder="1" applyAlignment="1">
      <alignment vertical="center"/>
    </xf>
    <xf numFmtId="0" fontId="91" fillId="0" borderId="8" xfId="0" applyFont="1" applyBorder="1" applyAlignment="1">
      <alignment horizontal="center" vertical="center"/>
    </xf>
    <xf numFmtId="0" fontId="91" fillId="0" borderId="8" xfId="0" applyFont="1" applyBorder="1" applyAlignment="1">
      <alignment vertical="center"/>
    </xf>
    <xf numFmtId="0" fontId="91" fillId="0" borderId="8" xfId="0" applyFont="1" applyBorder="1" applyAlignment="1">
      <alignment horizontal="center" vertical="center" wrapText="1"/>
    </xf>
    <xf numFmtId="0" fontId="91" fillId="0" borderId="8" xfId="0" applyNumberFormat="1" applyFont="1" applyBorder="1" applyAlignment="1">
      <alignment horizontal="left" vertical="center"/>
    </xf>
    <xf numFmtId="0" fontId="91" fillId="33" borderId="8" xfId="0" applyFont="1" applyFill="1" applyBorder="1" applyAlignment="1">
      <alignment vertical="center"/>
    </xf>
    <xf numFmtId="0" fontId="91" fillId="33" borderId="8" xfId="0" applyFont="1" applyFill="1" applyBorder="1" applyAlignment="1">
      <alignment horizontal="center" vertical="center" wrapText="1"/>
    </xf>
    <xf numFmtId="0" fontId="92" fillId="0" borderId="8" xfId="0" applyFont="1" applyBorder="1" applyAlignment="1">
      <alignment horizontal="center" vertical="center"/>
    </xf>
    <xf numFmtId="0" fontId="18" fillId="33" borderId="8" xfId="110" applyFont="1" applyFill="1" applyBorder="1" applyAlignment="1">
      <alignment horizontal="center" vertical="center" wrapText="1"/>
      <protection/>
    </xf>
    <xf numFmtId="0" fontId="18" fillId="33" borderId="0" xfId="110" applyFont="1" applyFill="1" applyAlignment="1">
      <alignment vertical="center" wrapText="1"/>
      <protection/>
    </xf>
    <xf numFmtId="0" fontId="18" fillId="33" borderId="8" xfId="110" applyFont="1" applyFill="1" applyBorder="1" applyAlignment="1">
      <alignment vertical="center" wrapText="1"/>
      <protection/>
    </xf>
    <xf numFmtId="1" fontId="18" fillId="33" borderId="8" xfId="110" applyNumberFormat="1" applyFont="1" applyFill="1" applyBorder="1" applyAlignment="1">
      <alignment horizontal="center" vertical="center" wrapText="1"/>
      <protection/>
    </xf>
    <xf numFmtId="2" fontId="18" fillId="33" borderId="8" xfId="110" applyNumberFormat="1" applyFont="1" applyFill="1" applyBorder="1" applyAlignment="1">
      <alignment horizontal="center" vertical="center" wrapText="1"/>
      <protection/>
    </xf>
    <xf numFmtId="0" fontId="18" fillId="33" borderId="8" xfId="110" applyFont="1" applyFill="1" applyBorder="1" applyAlignment="1">
      <alignment horizontal="left" vertical="center" wrapText="1"/>
      <protection/>
    </xf>
    <xf numFmtId="0" fontId="9" fillId="33" borderId="8" xfId="110" applyFont="1" applyFill="1" applyBorder="1" applyAlignment="1">
      <alignment horizontal="center" vertical="center" wrapText="1"/>
      <protection/>
    </xf>
    <xf numFmtId="2" fontId="9" fillId="33" borderId="8" xfId="110" applyNumberFormat="1" applyFont="1" applyFill="1" applyBorder="1" applyAlignment="1">
      <alignment horizontal="center" vertical="center" wrapText="1"/>
      <protection/>
    </xf>
    <xf numFmtId="2" fontId="18" fillId="33" borderId="0" xfId="110" applyNumberFormat="1" applyFont="1" applyFill="1" applyAlignment="1">
      <alignment vertical="center" wrapText="1"/>
      <protection/>
    </xf>
    <xf numFmtId="0" fontId="0" fillId="33" borderId="0" xfId="0" applyFill="1" applyAlignment="1">
      <alignment/>
    </xf>
    <xf numFmtId="0" fontId="94" fillId="33" borderId="31" xfId="0" applyFont="1" applyFill="1" applyBorder="1" applyAlignment="1">
      <alignment horizontal="center" vertical="center" wrapText="1"/>
    </xf>
    <xf numFmtId="0" fontId="94" fillId="33" borderId="24" xfId="0" applyFont="1" applyFill="1" applyBorder="1" applyAlignment="1">
      <alignment vertical="center" wrapText="1"/>
    </xf>
    <xf numFmtId="0" fontId="94" fillId="33" borderId="32" xfId="0" applyFont="1" applyFill="1" applyBorder="1" applyAlignment="1">
      <alignment horizontal="center" vertical="top" wrapText="1"/>
    </xf>
    <xf numFmtId="0" fontId="94" fillId="33" borderId="8" xfId="0" applyFont="1" applyFill="1" applyBorder="1" applyAlignment="1">
      <alignment vertical="top" wrapText="1"/>
    </xf>
    <xf numFmtId="0" fontId="94" fillId="33" borderId="8" xfId="0" applyFont="1" applyFill="1" applyBorder="1" applyAlignment="1">
      <alignment horizontal="center" vertical="top" wrapText="1"/>
    </xf>
    <xf numFmtId="0" fontId="95" fillId="33" borderId="8" xfId="0" applyFont="1" applyFill="1" applyBorder="1" applyAlignment="1">
      <alignment horizontal="center" vertical="top" wrapText="1"/>
    </xf>
    <xf numFmtId="14" fontId="95" fillId="33" borderId="8" xfId="0" applyNumberFormat="1" applyFont="1" applyFill="1" applyBorder="1" applyAlignment="1">
      <alignment horizontal="center" vertical="top" wrapText="1"/>
    </xf>
    <xf numFmtId="14" fontId="94" fillId="33" borderId="8" xfId="0" applyNumberFormat="1" applyFont="1" applyFill="1" applyBorder="1" applyAlignment="1">
      <alignment horizontal="center" vertical="top" wrapText="1"/>
    </xf>
    <xf numFmtId="0" fontId="96" fillId="33" borderId="8" xfId="0" applyFont="1" applyFill="1" applyBorder="1" applyAlignment="1">
      <alignment horizontal="center" vertical="top" wrapText="1"/>
    </xf>
    <xf numFmtId="0" fontId="96" fillId="33" borderId="33" xfId="0" applyFont="1" applyFill="1" applyBorder="1" applyAlignment="1">
      <alignment horizontal="center" vertical="top" wrapText="1"/>
    </xf>
    <xf numFmtId="0" fontId="94" fillId="33" borderId="33" xfId="0" applyFont="1" applyFill="1" applyBorder="1" applyAlignment="1">
      <alignment horizontal="center" vertical="top" wrapText="1"/>
    </xf>
    <xf numFmtId="0" fontId="97" fillId="33" borderId="34" xfId="0" applyFont="1" applyFill="1" applyBorder="1" applyAlignment="1">
      <alignment horizontal="center" vertical="top" wrapText="1"/>
    </xf>
    <xf numFmtId="0" fontId="97" fillId="33" borderId="23" xfId="0" applyFont="1" applyFill="1" applyBorder="1" applyAlignment="1">
      <alignment horizontal="center" vertical="top" wrapText="1"/>
    </xf>
    <xf numFmtId="0" fontId="98" fillId="33" borderId="35" xfId="0" applyFont="1" applyFill="1" applyBorder="1" applyAlignment="1">
      <alignment horizontal="center"/>
    </xf>
    <xf numFmtId="0" fontId="99" fillId="33" borderId="36" xfId="0" applyNumberFormat="1" applyFont="1" applyFill="1" applyBorder="1" applyAlignment="1">
      <alignment/>
    </xf>
    <xf numFmtId="1" fontId="98" fillId="33" borderId="36" xfId="0" applyNumberFormat="1" applyFont="1" applyFill="1" applyBorder="1" applyAlignment="1">
      <alignment/>
    </xf>
    <xf numFmtId="2" fontId="98" fillId="33" borderId="36" xfId="0" applyNumberFormat="1" applyFont="1" applyFill="1" applyBorder="1" applyAlignment="1">
      <alignment/>
    </xf>
    <xf numFmtId="0" fontId="98" fillId="33" borderId="36" xfId="0" applyFont="1" applyFill="1" applyBorder="1" applyAlignment="1">
      <alignment/>
    </xf>
    <xf numFmtId="2" fontId="98" fillId="33" borderId="37" xfId="0" applyNumberFormat="1" applyFont="1" applyFill="1" applyBorder="1" applyAlignment="1">
      <alignment/>
    </xf>
    <xf numFmtId="0" fontId="98" fillId="33" borderId="32" xfId="0" applyFont="1" applyFill="1" applyBorder="1" applyAlignment="1">
      <alignment horizontal="center"/>
    </xf>
    <xf numFmtId="0" fontId="99" fillId="33" borderId="8" xfId="0" applyFont="1" applyFill="1" applyBorder="1" applyAlignment="1">
      <alignment/>
    </xf>
    <xf numFmtId="1" fontId="98" fillId="33" borderId="8" xfId="0" applyNumberFormat="1" applyFont="1" applyFill="1" applyBorder="1" applyAlignment="1">
      <alignment/>
    </xf>
    <xf numFmtId="2" fontId="98" fillId="33" borderId="8" xfId="0" applyNumberFormat="1" applyFont="1" applyFill="1" applyBorder="1" applyAlignment="1">
      <alignment/>
    </xf>
    <xf numFmtId="0" fontId="98" fillId="33" borderId="8" xfId="0" applyFont="1" applyFill="1" applyBorder="1" applyAlignment="1">
      <alignment/>
    </xf>
    <xf numFmtId="2" fontId="98" fillId="33" borderId="33" xfId="0" applyNumberFormat="1" applyFont="1" applyFill="1" applyBorder="1" applyAlignment="1">
      <alignment/>
    </xf>
    <xf numFmtId="0" fontId="99" fillId="33" borderId="23" xfId="0" applyFont="1" applyFill="1" applyBorder="1" applyAlignment="1">
      <alignment/>
    </xf>
    <xf numFmtId="1" fontId="98" fillId="33" borderId="23" xfId="0" applyNumberFormat="1" applyFont="1" applyFill="1" applyBorder="1" applyAlignment="1">
      <alignment/>
    </xf>
    <xf numFmtId="2" fontId="98" fillId="33" borderId="23" xfId="0" applyNumberFormat="1" applyFont="1" applyFill="1" applyBorder="1" applyAlignment="1">
      <alignment/>
    </xf>
    <xf numFmtId="0" fontId="98" fillId="33" borderId="23" xfId="0" applyFont="1" applyFill="1" applyBorder="1" applyAlignment="1">
      <alignment/>
    </xf>
    <xf numFmtId="2" fontId="98" fillId="33" borderId="38" xfId="0" applyNumberFormat="1" applyFont="1" applyFill="1" applyBorder="1" applyAlignment="1">
      <alignment/>
    </xf>
    <xf numFmtId="0" fontId="79" fillId="33" borderId="39" xfId="0" applyFont="1" applyFill="1" applyBorder="1" applyAlignment="1">
      <alignment horizontal="center"/>
    </xf>
    <xf numFmtId="0" fontId="79" fillId="33" borderId="40" xfId="0" applyFont="1" applyFill="1" applyBorder="1" applyAlignment="1">
      <alignment/>
    </xf>
    <xf numFmtId="1" fontId="79" fillId="33" borderId="40" xfId="0" applyNumberFormat="1" applyFont="1" applyFill="1" applyBorder="1" applyAlignment="1">
      <alignment/>
    </xf>
    <xf numFmtId="2" fontId="79" fillId="33" borderId="40" xfId="0" applyNumberFormat="1" applyFont="1" applyFill="1" applyBorder="1" applyAlignment="1">
      <alignment/>
    </xf>
    <xf numFmtId="2" fontId="79" fillId="33" borderId="41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vertical="center"/>
    </xf>
    <xf numFmtId="2" fontId="3" fillId="33" borderId="0" xfId="0" applyNumberFormat="1" applyFont="1" applyFill="1" applyAlignment="1">
      <alignment vertical="center"/>
    </xf>
    <xf numFmtId="1" fontId="3" fillId="33" borderId="0" xfId="0" applyNumberFormat="1" applyFont="1" applyFill="1" applyAlignment="1">
      <alignment vertical="center"/>
    </xf>
    <xf numFmtId="0" fontId="4" fillId="33" borderId="8" xfId="0" applyFont="1" applyFill="1" applyBorder="1" applyAlignment="1">
      <alignment horizontal="center" vertical="center" wrapText="1"/>
    </xf>
    <xf numFmtId="2" fontId="4" fillId="33" borderId="8" xfId="0" applyNumberFormat="1" applyFont="1" applyFill="1" applyBorder="1" applyAlignment="1">
      <alignment horizontal="center" vertical="center" wrapText="1"/>
    </xf>
    <xf numFmtId="1" fontId="4" fillId="33" borderId="8" xfId="0" applyNumberFormat="1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center" vertical="center"/>
    </xf>
    <xf numFmtId="0" fontId="3" fillId="33" borderId="8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2" fontId="6" fillId="33" borderId="8" xfId="0" applyNumberFormat="1" applyFont="1" applyFill="1" applyBorder="1" applyAlignment="1">
      <alignment vertical="center"/>
    </xf>
    <xf numFmtId="1" fontId="6" fillId="33" borderId="8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5" fillId="33" borderId="8" xfId="0" applyFont="1" applyFill="1" applyBorder="1" applyAlignment="1">
      <alignment vertical="center"/>
    </xf>
    <xf numFmtId="0" fontId="6" fillId="0" borderId="8" xfId="0" applyNumberFormat="1" applyFont="1" applyBorder="1" applyAlignment="1">
      <alignment/>
    </xf>
    <xf numFmtId="1" fontId="6" fillId="33" borderId="8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vertical="center"/>
    </xf>
    <xf numFmtId="1" fontId="6" fillId="33" borderId="0" xfId="0" applyNumberFormat="1" applyFont="1" applyFill="1" applyBorder="1" applyAlignment="1">
      <alignment vertical="center"/>
    </xf>
    <xf numFmtId="0" fontId="3" fillId="33" borderId="8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33" borderId="8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/>
    </xf>
    <xf numFmtId="2" fontId="6" fillId="0" borderId="8" xfId="0" applyNumberFormat="1" applyFont="1" applyFill="1" applyBorder="1" applyAlignment="1">
      <alignment/>
    </xf>
    <xf numFmtId="1" fontId="6" fillId="0" borderId="8" xfId="0" applyNumberFormat="1" applyFont="1" applyFill="1" applyBorder="1" applyAlignment="1">
      <alignment vertical="center"/>
    </xf>
    <xf numFmtId="0" fontId="6" fillId="38" borderId="24" xfId="0" applyFont="1" applyFill="1" applyBorder="1" applyAlignment="1">
      <alignment vertical="center"/>
    </xf>
    <xf numFmtId="2" fontId="6" fillId="33" borderId="8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/>
    </xf>
    <xf numFmtId="0" fontId="6" fillId="33" borderId="8" xfId="0" applyFont="1" applyFill="1" applyBorder="1" applyAlignment="1">
      <alignment horizontal="right" vertical="center"/>
    </xf>
    <xf numFmtId="0" fontId="6" fillId="33" borderId="8" xfId="0" applyFont="1" applyFill="1" applyBorder="1" applyAlignment="1">
      <alignment horizontal="right" vertical="center" wrapText="1"/>
    </xf>
    <xf numFmtId="1" fontId="6" fillId="33" borderId="8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33" borderId="42" xfId="49" applyFont="1" applyFill="1" applyBorder="1" applyAlignment="1">
      <alignment vertical="center"/>
      <protection/>
    </xf>
    <xf numFmtId="2" fontId="6" fillId="33" borderId="42" xfId="49" applyNumberFormat="1" applyFont="1" applyFill="1" applyBorder="1" applyAlignment="1">
      <alignment vertical="center"/>
      <protection/>
    </xf>
    <xf numFmtId="178" fontId="6" fillId="33" borderId="42" xfId="49" applyNumberFormat="1" applyFont="1" applyFill="1" applyBorder="1" applyAlignment="1">
      <alignment vertical="center"/>
      <protection/>
    </xf>
    <xf numFmtId="0" fontId="6" fillId="0" borderId="8" xfId="49" applyFont="1" applyFill="1" applyBorder="1" applyAlignment="1">
      <alignment vertical="center"/>
      <protection/>
    </xf>
    <xf numFmtId="2" fontId="6" fillId="0" borderId="8" xfId="49" applyNumberFormat="1" applyFont="1" applyFill="1" applyBorder="1" applyAlignment="1">
      <alignment vertical="center"/>
      <protection/>
    </xf>
    <xf numFmtId="165" fontId="6" fillId="0" borderId="8" xfId="49" applyNumberFormat="1" applyFont="1" applyFill="1" applyBorder="1" applyAlignment="1">
      <alignment vertical="center"/>
      <protection/>
    </xf>
    <xf numFmtId="0" fontId="3" fillId="33" borderId="32" xfId="0" applyNumberFormat="1" applyFont="1" applyFill="1" applyBorder="1" applyAlignment="1" applyProtection="1">
      <alignment horizontal="left"/>
      <protection locked="0"/>
    </xf>
    <xf numFmtId="0" fontId="6" fillId="33" borderId="29" xfId="0" applyFont="1" applyFill="1" applyBorder="1" applyAlignment="1">
      <alignment vertical="center"/>
    </xf>
    <xf numFmtId="2" fontId="6" fillId="33" borderId="29" xfId="0" applyNumberFormat="1" applyFont="1" applyFill="1" applyBorder="1" applyAlignment="1">
      <alignment vertical="center"/>
    </xf>
    <xf numFmtId="2" fontId="5" fillId="33" borderId="8" xfId="0" applyNumberFormat="1" applyFont="1" applyFill="1" applyBorder="1" applyAlignment="1">
      <alignment vertical="center"/>
    </xf>
    <xf numFmtId="1" fontId="5" fillId="33" borderId="8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33" borderId="8" xfId="0" applyFont="1" applyFill="1" applyBorder="1" applyAlignment="1" applyProtection="1">
      <alignment horizontal="center" vertical="center"/>
      <protection/>
    </xf>
    <xf numFmtId="0" fontId="5" fillId="33" borderId="8" xfId="0" applyFont="1" applyFill="1" applyBorder="1" applyAlignment="1" applyProtection="1">
      <alignment horizontal="center" vertical="center" wrapText="1"/>
      <protection locked="0"/>
    </xf>
    <xf numFmtId="0" fontId="5" fillId="33" borderId="8" xfId="0" applyFont="1" applyFill="1" applyBorder="1" applyAlignment="1" applyProtection="1">
      <alignment horizontal="center" vertical="center"/>
      <protection locked="0"/>
    </xf>
    <xf numFmtId="0" fontId="6" fillId="33" borderId="8" xfId="0" applyFont="1" applyFill="1" applyBorder="1" applyAlignment="1" applyProtection="1">
      <alignment horizontal="center" vertical="center"/>
      <protection/>
    </xf>
    <xf numFmtId="1" fontId="6" fillId="33" borderId="8" xfId="69" applyNumberFormat="1" applyFont="1" applyFill="1" applyBorder="1" applyAlignment="1" applyProtection="1">
      <alignment vertical="center"/>
      <protection/>
    </xf>
    <xf numFmtId="0" fontId="6" fillId="33" borderId="8" xfId="0" applyFont="1" applyFill="1" applyBorder="1" applyAlignment="1" applyProtection="1">
      <alignment vertical="center"/>
      <protection locked="0"/>
    </xf>
    <xf numFmtId="0" fontId="5" fillId="33" borderId="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 locked="0"/>
    </xf>
    <xf numFmtId="1" fontId="6" fillId="33" borderId="0" xfId="0" applyNumberFormat="1" applyFont="1" applyFill="1" applyBorder="1" applyAlignment="1" applyProtection="1">
      <alignment vertical="center"/>
      <protection/>
    </xf>
    <xf numFmtId="1" fontId="5" fillId="33" borderId="0" xfId="69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24" xfId="0" applyFont="1" applyFill="1" applyBorder="1" applyAlignment="1">
      <alignment vertical="center"/>
    </xf>
    <xf numFmtId="0" fontId="18" fillId="33" borderId="8" xfId="0" applyFont="1" applyFill="1" applyBorder="1" applyAlignment="1">
      <alignment vertical="center"/>
    </xf>
    <xf numFmtId="1" fontId="6" fillId="33" borderId="0" xfId="69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right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1" fontId="5" fillId="33" borderId="0" xfId="0" applyNumberFormat="1" applyFont="1" applyFill="1" applyBorder="1" applyAlignment="1" applyProtection="1">
      <alignment vertical="center"/>
      <protection/>
    </xf>
    <xf numFmtId="0" fontId="61" fillId="0" borderId="8" xfId="0" applyFont="1" applyBorder="1" applyAlignment="1">
      <alignment/>
    </xf>
    <xf numFmtId="0" fontId="6" fillId="33" borderId="26" xfId="0" applyFont="1" applyFill="1" applyBorder="1" applyAlignment="1" applyProtection="1">
      <alignment vertical="center"/>
      <protection locked="0"/>
    </xf>
    <xf numFmtId="0" fontId="6" fillId="33" borderId="8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6" fillId="39" borderId="42" xfId="49" applyFont="1" applyFill="1" applyBorder="1" applyAlignment="1" applyProtection="1">
      <alignment vertical="center"/>
      <protection locked="0"/>
    </xf>
    <xf numFmtId="0" fontId="6" fillId="0" borderId="8" xfId="49" applyFont="1" applyFill="1" applyBorder="1" applyAlignment="1" applyProtection="1">
      <alignment vertical="center"/>
      <protection locked="0"/>
    </xf>
    <xf numFmtId="1" fontId="5" fillId="33" borderId="8" xfId="69" applyNumberFormat="1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 locked="0"/>
    </xf>
    <xf numFmtId="1" fontId="5" fillId="33" borderId="8" xfId="0" applyNumberFormat="1" applyFont="1" applyFill="1" applyBorder="1" applyAlignment="1" applyProtection="1">
      <alignment vertical="center"/>
      <protection/>
    </xf>
    <xf numFmtId="0" fontId="6" fillId="33" borderId="8" xfId="0" applyFont="1" applyFill="1" applyBorder="1" applyAlignment="1" applyProtection="1">
      <alignment horizontal="right" vertical="center"/>
      <protection locked="0"/>
    </xf>
    <xf numFmtId="0" fontId="61" fillId="0" borderId="8" xfId="0" applyFont="1" applyBorder="1" applyAlignment="1">
      <alignment horizontal="right"/>
    </xf>
    <xf numFmtId="0" fontId="5" fillId="33" borderId="8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Alignment="1">
      <alignment/>
    </xf>
    <xf numFmtId="0" fontId="18" fillId="33" borderId="8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/>
    </xf>
    <xf numFmtId="1" fontId="5" fillId="33" borderId="8" xfId="69" applyNumberFormat="1" applyFont="1" applyFill="1" applyBorder="1" applyAlignment="1" applyProtection="1">
      <alignment horizontal="right" vertical="center"/>
      <protection/>
    </xf>
    <xf numFmtId="0" fontId="5" fillId="33" borderId="8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1" fontId="5" fillId="33" borderId="0" xfId="69" applyNumberFormat="1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 locked="0"/>
    </xf>
    <xf numFmtId="1" fontId="6" fillId="33" borderId="0" xfId="0" applyNumberFormat="1" applyFont="1" applyFill="1" applyBorder="1" applyAlignment="1" applyProtection="1">
      <alignment vertical="top" wrapText="1"/>
      <protection locked="0"/>
    </xf>
    <xf numFmtId="2" fontId="6" fillId="33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 applyProtection="1">
      <alignment vertical="top" wrapText="1"/>
      <protection locked="0"/>
    </xf>
    <xf numFmtId="1" fontId="5" fillId="33" borderId="8" xfId="0" applyNumberFormat="1" applyFont="1" applyFill="1" applyBorder="1" applyAlignment="1" applyProtection="1">
      <alignment horizontal="center" vertical="top" wrapText="1"/>
      <protection locked="0"/>
    </xf>
    <xf numFmtId="2" fontId="5" fillId="33" borderId="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8" xfId="0" applyFont="1" applyFill="1" applyBorder="1" applyAlignment="1" applyProtection="1">
      <alignment horizontal="left" vertical="center" wrapText="1"/>
      <protection locked="0"/>
    </xf>
    <xf numFmtId="2" fontId="6" fillId="35" borderId="8" xfId="0" applyNumberFormat="1" applyFont="1" applyFill="1" applyBorder="1" applyAlignment="1" applyProtection="1">
      <alignment horizontal="right" vertical="center" wrapText="1"/>
      <protection locked="0"/>
    </xf>
    <xf numFmtId="1" fontId="6" fillId="35" borderId="8" xfId="0" applyNumberFormat="1" applyFont="1" applyFill="1" applyBorder="1" applyAlignment="1" applyProtection="1">
      <alignment horizontal="right" vertical="center" wrapText="1"/>
      <protection locked="0"/>
    </xf>
    <xf numFmtId="1" fontId="6" fillId="35" borderId="8" xfId="0" applyNumberFormat="1" applyFont="1" applyFill="1" applyBorder="1" applyAlignment="1" applyProtection="1">
      <alignment vertical="center" wrapText="1"/>
      <protection locked="0"/>
    </xf>
    <xf numFmtId="2" fontId="6" fillId="35" borderId="8" xfId="0" applyNumberFormat="1" applyFont="1" applyFill="1" applyBorder="1" applyAlignment="1" applyProtection="1">
      <alignment vertical="center" wrapText="1"/>
      <protection locked="0"/>
    </xf>
    <xf numFmtId="0" fontId="6" fillId="33" borderId="8" xfId="0" applyFont="1" applyFill="1" applyBorder="1" applyAlignment="1" applyProtection="1">
      <alignment horizontal="left" vertical="center" wrapText="1"/>
      <protection locked="0"/>
    </xf>
    <xf numFmtId="2" fontId="6" fillId="33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0" xfId="0" applyFont="1" applyFill="1" applyBorder="1" applyAlignment="1">
      <alignment vertical="center"/>
    </xf>
    <xf numFmtId="2" fontId="6" fillId="35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0" xfId="0" applyFont="1" applyFill="1" applyBorder="1" applyAlignment="1" applyProtection="1">
      <alignment horizontal="right" vertical="center" wrapText="1"/>
      <protection locked="0"/>
    </xf>
    <xf numFmtId="1" fontId="6" fillId="33" borderId="8" xfId="0" applyNumberFormat="1" applyFont="1" applyFill="1" applyBorder="1" applyAlignment="1">
      <alignment/>
    </xf>
    <xf numFmtId="0" fontId="6" fillId="35" borderId="0" xfId="0" applyFont="1" applyFill="1" applyBorder="1" applyAlignment="1" applyProtection="1">
      <alignment horizontal="right" vertical="center" wrapText="1"/>
      <protection locked="0"/>
    </xf>
    <xf numFmtId="2" fontId="6" fillId="33" borderId="8" xfId="0" applyNumberFormat="1" applyFont="1" applyFill="1" applyBorder="1" applyAlignment="1" applyProtection="1">
      <alignment horizontal="right" vertical="top" wrapText="1"/>
      <protection locked="0"/>
    </xf>
    <xf numFmtId="2" fontId="6" fillId="33" borderId="8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5" fillId="33" borderId="8" xfId="0" applyFont="1" applyFill="1" applyBorder="1" applyAlignment="1" applyProtection="1">
      <alignment horizontal="left" vertical="center" wrapText="1"/>
      <protection locked="0"/>
    </xf>
    <xf numFmtId="2" fontId="5" fillId="33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0" xfId="0" applyFont="1" applyFill="1" applyBorder="1" applyAlignment="1" applyProtection="1">
      <alignment horizontal="right" vertical="center" wrapText="1"/>
      <protection locked="0"/>
    </xf>
    <xf numFmtId="2" fontId="5" fillId="35" borderId="8" xfId="0" applyNumberFormat="1" applyFont="1" applyFill="1" applyBorder="1" applyAlignment="1" applyProtection="1">
      <alignment horizontal="right" vertical="center" wrapText="1"/>
      <protection locked="0"/>
    </xf>
    <xf numFmtId="1" fontId="5" fillId="35" borderId="8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8" xfId="0" applyNumberFormat="1" applyFont="1" applyFill="1" applyBorder="1" applyAlignment="1" applyProtection="1">
      <alignment vertical="center" wrapText="1"/>
      <protection locked="0"/>
    </xf>
    <xf numFmtId="2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8" xfId="0" applyFont="1" applyFill="1" applyBorder="1" applyAlignment="1" applyProtection="1">
      <alignment vertical="top" wrapText="1"/>
      <protection locked="0"/>
    </xf>
    <xf numFmtId="0" fontId="5" fillId="33" borderId="8" xfId="0" applyFont="1" applyFill="1" applyBorder="1" applyAlignment="1" applyProtection="1">
      <alignment vertical="top" wrapText="1"/>
      <protection locked="0"/>
    </xf>
    <xf numFmtId="2" fontId="5" fillId="33" borderId="8" xfId="0" applyNumberFormat="1" applyFont="1" applyFill="1" applyBorder="1" applyAlignment="1" applyProtection="1">
      <alignment horizontal="right" vertical="top" wrapText="1"/>
      <protection locked="0"/>
    </xf>
    <xf numFmtId="1" fontId="5" fillId="33" borderId="8" xfId="0" applyNumberFormat="1" applyFont="1" applyFill="1" applyBorder="1" applyAlignment="1" applyProtection="1">
      <alignment horizontal="right" vertical="top" wrapText="1"/>
      <protection locked="0"/>
    </xf>
    <xf numFmtId="0" fontId="24" fillId="33" borderId="0" xfId="0" applyFont="1" applyFill="1" applyBorder="1" applyAlignment="1" applyProtection="1">
      <alignment horizontal="left" vertical="top" wrapText="1"/>
      <protection locked="0"/>
    </xf>
    <xf numFmtId="2" fontId="5" fillId="33" borderId="0" xfId="0" applyNumberFormat="1" applyFont="1" applyFill="1" applyBorder="1" applyAlignment="1" applyProtection="1">
      <alignment horizontal="right" vertical="top" wrapText="1"/>
      <protection locked="0"/>
    </xf>
    <xf numFmtId="2" fontId="24" fillId="33" borderId="0" xfId="0" applyNumberFormat="1" applyFont="1" applyFill="1" applyBorder="1" applyAlignment="1" applyProtection="1">
      <alignment horizontal="left" vertical="top" wrapText="1"/>
      <protection locked="0"/>
    </xf>
    <xf numFmtId="1" fontId="5" fillId="33" borderId="0" xfId="0" applyNumberFormat="1" applyFont="1" applyFill="1" applyBorder="1" applyAlignment="1" applyProtection="1">
      <alignment horizontal="right" vertical="top" wrapText="1"/>
      <protection locked="0"/>
    </xf>
    <xf numFmtId="2" fontId="6" fillId="33" borderId="0" xfId="0" applyNumberFormat="1" applyFont="1" applyFill="1" applyAlignment="1" applyProtection="1">
      <alignment vertical="center"/>
      <protection locked="0"/>
    </xf>
    <xf numFmtId="0" fontId="6" fillId="33" borderId="8" xfId="0" applyFont="1" applyFill="1" applyBorder="1" applyAlignment="1" applyProtection="1">
      <alignment horizontal="center" vertical="center"/>
      <protection locked="0"/>
    </xf>
    <xf numFmtId="2" fontId="6" fillId="33" borderId="8" xfId="0" applyNumberFormat="1" applyFont="1" applyFill="1" applyBorder="1" applyAlignment="1" applyProtection="1">
      <alignment horizontal="center" vertical="center"/>
      <protection locked="0"/>
    </xf>
    <xf numFmtId="2" fontId="6" fillId="33" borderId="8" xfId="0" applyNumberFormat="1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vertical="center"/>
      <protection locked="0"/>
    </xf>
    <xf numFmtId="1" fontId="6" fillId="33" borderId="18" xfId="69" applyNumberFormat="1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24" xfId="0" applyFont="1" applyFill="1" applyBorder="1" applyAlignment="1" applyProtection="1">
      <alignment vertical="center"/>
      <protection locked="0"/>
    </xf>
    <xf numFmtId="2" fontId="6" fillId="33" borderId="0" xfId="0" applyNumberFormat="1" applyFont="1" applyFill="1" applyBorder="1" applyAlignment="1" applyProtection="1">
      <alignment vertical="center"/>
      <protection locked="0"/>
    </xf>
    <xf numFmtId="2" fontId="18" fillId="33" borderId="8" xfId="0" applyNumberFormat="1" applyFont="1" applyFill="1" applyBorder="1" applyAlignment="1">
      <alignment vertical="center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16" fillId="33" borderId="16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2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3" fillId="33" borderId="8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6" xfId="0" applyNumberFormat="1" applyFont="1" applyFill="1" applyBorder="1" applyAlignment="1" applyProtection="1">
      <alignment horizontal="center" vertical="top" wrapText="1"/>
      <protection locked="0"/>
    </xf>
    <xf numFmtId="0" fontId="16" fillId="33" borderId="8" xfId="108" applyFont="1" applyFill="1" applyBorder="1" applyAlignment="1" applyProtection="1">
      <alignment horizontal="center" vertical="center" wrapText="1"/>
      <protection locked="0"/>
    </xf>
    <xf numFmtId="1" fontId="16" fillId="33" borderId="8" xfId="108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1" fontId="5" fillId="33" borderId="0" xfId="0" applyNumberFormat="1" applyFont="1" applyFill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>
      <alignment horizontal="center" vertical="center"/>
    </xf>
    <xf numFmtId="0" fontId="16" fillId="33" borderId="8" xfId="0" applyFont="1" applyFill="1" applyBorder="1" applyAlignment="1">
      <alignment horizontal="center" vertical="center"/>
    </xf>
    <xf numFmtId="0" fontId="16" fillId="33" borderId="8" xfId="0" applyFont="1" applyFill="1" applyBorder="1" applyAlignment="1">
      <alignment horizontal="center" vertical="center" wrapText="1"/>
    </xf>
    <xf numFmtId="2" fontId="16" fillId="33" borderId="8" xfId="0" applyNumberFormat="1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1" fontId="16" fillId="33" borderId="18" xfId="0" applyNumberFormat="1" applyFont="1" applyFill="1" applyBorder="1" applyAlignment="1">
      <alignment horizontal="center" vertical="center" wrapText="1"/>
    </xf>
    <xf numFmtId="1" fontId="16" fillId="33" borderId="25" xfId="0" applyNumberFormat="1" applyFont="1" applyFill="1" applyBorder="1" applyAlignment="1">
      <alignment horizontal="center" vertical="center" wrapText="1"/>
    </xf>
    <xf numFmtId="1" fontId="16" fillId="33" borderId="8" xfId="0" applyNumberFormat="1" applyFont="1" applyFill="1" applyBorder="1" applyAlignment="1">
      <alignment horizontal="center" vertical="center" wrapText="1"/>
    </xf>
    <xf numFmtId="1" fontId="16" fillId="33" borderId="28" xfId="0" applyNumberFormat="1" applyFont="1" applyFill="1" applyBorder="1" applyAlignment="1">
      <alignment horizontal="center" vertical="center" wrapText="1"/>
    </xf>
    <xf numFmtId="1" fontId="9" fillId="33" borderId="0" xfId="0" applyNumberFormat="1" applyFont="1" applyFill="1" applyAlignment="1">
      <alignment horizontal="center" vertical="center"/>
    </xf>
    <xf numFmtId="1" fontId="16" fillId="33" borderId="8" xfId="0" applyNumberFormat="1" applyFont="1" applyFill="1" applyBorder="1" applyAlignment="1">
      <alignment horizontal="center" vertical="center"/>
    </xf>
    <xf numFmtId="1" fontId="16" fillId="33" borderId="43" xfId="0" applyNumberFormat="1" applyFont="1" applyFill="1" applyBorder="1" applyAlignment="1">
      <alignment horizontal="center" vertical="center" wrapText="1"/>
    </xf>
    <xf numFmtId="1" fontId="16" fillId="33" borderId="44" xfId="0" applyNumberFormat="1" applyFont="1" applyFill="1" applyBorder="1" applyAlignment="1">
      <alignment horizontal="center" vertical="center" wrapText="1"/>
    </xf>
    <xf numFmtId="1" fontId="16" fillId="33" borderId="29" xfId="0" applyNumberFormat="1" applyFont="1" applyFill="1" applyBorder="1" applyAlignment="1">
      <alignment horizontal="center" vertical="center" wrapText="1"/>
    </xf>
    <xf numFmtId="1" fontId="16" fillId="33" borderId="19" xfId="0" applyNumberFormat="1" applyFont="1" applyFill="1" applyBorder="1" applyAlignment="1">
      <alignment horizontal="center" vertical="center" wrapText="1"/>
    </xf>
    <xf numFmtId="1" fontId="16" fillId="33" borderId="45" xfId="0" applyNumberFormat="1" applyFont="1" applyFill="1" applyBorder="1" applyAlignment="1">
      <alignment horizontal="center" vertical="center" wrapText="1"/>
    </xf>
    <xf numFmtId="1" fontId="16" fillId="33" borderId="30" xfId="0" applyNumberFormat="1" applyFont="1" applyFill="1" applyBorder="1" applyAlignment="1">
      <alignment horizontal="center" vertical="center" wrapText="1"/>
    </xf>
    <xf numFmtId="1" fontId="84" fillId="33" borderId="8" xfId="0" applyNumberFormat="1" applyFont="1" applyFill="1" applyBorder="1" applyAlignment="1">
      <alignment horizontal="center" vertical="center" wrapText="1"/>
    </xf>
    <xf numFmtId="0" fontId="84" fillId="33" borderId="8" xfId="0" applyFont="1" applyFill="1" applyBorder="1" applyAlignment="1">
      <alignment horizontal="center" vertical="center"/>
    </xf>
    <xf numFmtId="0" fontId="100" fillId="33" borderId="0" xfId="0" applyFont="1" applyFill="1" applyAlignment="1">
      <alignment horizontal="center" vertical="center"/>
    </xf>
    <xf numFmtId="2" fontId="84" fillId="33" borderId="8" xfId="0" applyNumberFormat="1" applyFont="1" applyFill="1" applyBorder="1" applyAlignment="1">
      <alignment horizontal="center" vertical="center" wrapText="1"/>
    </xf>
    <xf numFmtId="1" fontId="84" fillId="33" borderId="8" xfId="0" applyNumberFormat="1" applyFont="1" applyFill="1" applyBorder="1" applyAlignment="1">
      <alignment horizontal="center" vertical="center"/>
    </xf>
    <xf numFmtId="0" fontId="84" fillId="33" borderId="18" xfId="0" applyFont="1" applyFill="1" applyBorder="1" applyAlignment="1">
      <alignment horizontal="center" vertical="center" wrapText="1"/>
    </xf>
    <xf numFmtId="0" fontId="84" fillId="33" borderId="28" xfId="0" applyFont="1" applyFill="1" applyBorder="1" applyAlignment="1">
      <alignment horizontal="center" vertical="center" wrapText="1"/>
    </xf>
    <xf numFmtId="0" fontId="84" fillId="33" borderId="25" xfId="0" applyFont="1" applyFill="1" applyBorder="1" applyAlignment="1">
      <alignment horizontal="center" vertical="center" wrapText="1"/>
    </xf>
    <xf numFmtId="1" fontId="84" fillId="33" borderId="18" xfId="0" applyNumberFormat="1" applyFont="1" applyFill="1" applyBorder="1" applyAlignment="1">
      <alignment horizontal="center" vertical="center" wrapText="1"/>
    </xf>
    <xf numFmtId="1" fontId="84" fillId="33" borderId="25" xfId="0" applyNumberFormat="1" applyFont="1" applyFill="1" applyBorder="1" applyAlignment="1">
      <alignment horizontal="center" vertical="center" wrapText="1"/>
    </xf>
    <xf numFmtId="1" fontId="84" fillId="33" borderId="43" xfId="0" applyNumberFormat="1" applyFont="1" applyFill="1" applyBorder="1" applyAlignment="1">
      <alignment horizontal="center" vertical="center" wrapText="1"/>
    </xf>
    <xf numFmtId="1" fontId="84" fillId="33" borderId="45" xfId="0" applyNumberFormat="1" applyFont="1" applyFill="1" applyBorder="1" applyAlignment="1">
      <alignment horizontal="center" vertical="center" wrapText="1"/>
    </xf>
    <xf numFmtId="1" fontId="84" fillId="33" borderId="29" xfId="0" applyNumberFormat="1" applyFont="1" applyFill="1" applyBorder="1" applyAlignment="1">
      <alignment horizontal="center" vertical="center" wrapText="1"/>
    </xf>
    <xf numFmtId="1" fontId="84" fillId="33" borderId="30" xfId="0" applyNumberFormat="1" applyFont="1" applyFill="1" applyBorder="1" applyAlignment="1">
      <alignment horizontal="center" vertical="center" wrapText="1"/>
    </xf>
    <xf numFmtId="1" fontId="84" fillId="33" borderId="28" xfId="0" applyNumberFormat="1" applyFont="1" applyFill="1" applyBorder="1" applyAlignment="1">
      <alignment horizontal="center" vertical="center" wrapText="1"/>
    </xf>
    <xf numFmtId="1" fontId="84" fillId="33" borderId="19" xfId="0" applyNumberFormat="1" applyFont="1" applyFill="1" applyBorder="1" applyAlignment="1">
      <alignment horizontal="center" vertical="center"/>
    </xf>
    <xf numFmtId="0" fontId="101" fillId="33" borderId="0" xfId="0" applyFont="1" applyFill="1" applyAlignment="1">
      <alignment horizontal="center" vertical="center"/>
    </xf>
    <xf numFmtId="0" fontId="84" fillId="33" borderId="23" xfId="0" applyFont="1" applyFill="1" applyBorder="1" applyAlignment="1">
      <alignment horizontal="center" vertical="center" wrapText="1"/>
    </xf>
    <xf numFmtId="0" fontId="84" fillId="33" borderId="46" xfId="0" applyFont="1" applyFill="1" applyBorder="1" applyAlignment="1">
      <alignment horizontal="center" vertical="center" wrapText="1"/>
    </xf>
    <xf numFmtId="0" fontId="84" fillId="33" borderId="24" xfId="0" applyFont="1" applyFill="1" applyBorder="1" applyAlignment="1">
      <alignment horizontal="center" vertical="center" wrapText="1"/>
    </xf>
    <xf numFmtId="1" fontId="84" fillId="33" borderId="23" xfId="0" applyNumberFormat="1" applyFont="1" applyFill="1" applyBorder="1" applyAlignment="1">
      <alignment horizontal="center" vertical="center"/>
    </xf>
    <xf numFmtId="1" fontId="84" fillId="33" borderId="24" xfId="0" applyNumberFormat="1" applyFont="1" applyFill="1" applyBorder="1" applyAlignment="1">
      <alignment horizontal="center" vertical="center"/>
    </xf>
    <xf numFmtId="1" fontId="10" fillId="33" borderId="0" xfId="0" applyNumberFormat="1" applyFont="1" applyFill="1" applyAlignment="1" applyProtection="1">
      <alignment horizontal="center" vertical="center" wrapText="1"/>
      <protection locked="0"/>
    </xf>
    <xf numFmtId="1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47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0" xfId="0" applyNumberFormat="1" applyFont="1" applyFill="1" applyAlignment="1" applyProtection="1">
      <alignment horizontal="center" vertical="center"/>
      <protection locked="0"/>
    </xf>
    <xf numFmtId="1" fontId="5" fillId="33" borderId="16" xfId="0" applyNumberFormat="1" applyFont="1" applyFill="1" applyBorder="1" applyAlignment="1" applyProtection="1">
      <alignment horizontal="center" vertical="top" wrapText="1"/>
      <protection locked="0"/>
    </xf>
    <xf numFmtId="1" fontId="5" fillId="33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4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4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20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8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21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5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Alignment="1" applyProtection="1">
      <alignment horizontal="center" vertical="center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Alignment="1" applyProtection="1">
      <alignment horizontal="center" vertical="center" wrapText="1"/>
      <protection locked="0"/>
    </xf>
    <xf numFmtId="2" fontId="5" fillId="33" borderId="0" xfId="0" applyNumberFormat="1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horizontal="center" vertical="center" wrapText="1"/>
      <protection locked="0"/>
    </xf>
    <xf numFmtId="0" fontId="3" fillId="33" borderId="51" xfId="0" applyFont="1" applyFill="1" applyBorder="1" applyAlignment="1" applyProtection="1">
      <alignment horizontal="center" vertical="center" wrapText="1"/>
      <protection locked="0"/>
    </xf>
    <xf numFmtId="2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51" xfId="0" applyNumberFormat="1" applyFont="1" applyFill="1" applyBorder="1" applyAlignment="1" applyProtection="1">
      <alignment horizontal="center" vertical="center" wrapText="1"/>
      <protection locked="0"/>
    </xf>
    <xf numFmtId="2" fontId="10" fillId="33" borderId="0" xfId="0" applyNumberFormat="1" applyFont="1" applyFill="1" applyAlignment="1" applyProtection="1">
      <alignment horizontal="center" vertical="center"/>
      <protection locked="0"/>
    </xf>
    <xf numFmtId="0" fontId="16" fillId="33" borderId="8" xfId="0" applyFont="1" applyFill="1" applyBorder="1" applyAlignment="1" applyProtection="1">
      <alignment horizontal="center" vertical="center" wrapText="1"/>
      <protection locked="0"/>
    </xf>
    <xf numFmtId="1" fontId="16" fillId="40" borderId="8" xfId="0" applyNumberFormat="1" applyFont="1" applyFill="1" applyBorder="1" applyAlignment="1" applyProtection="1">
      <alignment horizontal="center" vertical="center" wrapText="1"/>
      <protection locked="0"/>
    </xf>
    <xf numFmtId="1" fontId="16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6" fillId="41" borderId="0" xfId="0" applyFont="1" applyFill="1" applyAlignment="1">
      <alignment horizontal="center" vertical="top" wrapText="1"/>
    </xf>
    <xf numFmtId="1" fontId="3" fillId="2" borderId="53" xfId="0" applyNumberFormat="1" applyFont="1" applyFill="1" applyBorder="1" applyAlignment="1">
      <alignment horizontal="center" vertical="center" wrapText="1"/>
    </xf>
    <xf numFmtId="1" fontId="3" fillId="2" borderId="54" xfId="0" applyNumberFormat="1" applyFont="1" applyFill="1" applyBorder="1" applyAlignment="1">
      <alignment horizontal="center" vertical="center" wrapText="1"/>
    </xf>
    <xf numFmtId="1" fontId="3" fillId="0" borderId="54" xfId="0" applyNumberFormat="1" applyFont="1" applyBorder="1" applyAlignment="1">
      <alignment horizontal="center" vertical="center" wrapText="1"/>
    </xf>
    <xf numFmtId="1" fontId="3" fillId="0" borderId="53" xfId="0" applyNumberFormat="1" applyFont="1" applyBorder="1" applyAlignment="1">
      <alignment horizontal="center" vertical="center" wrapText="1"/>
    </xf>
    <xf numFmtId="1" fontId="4" fillId="0" borderId="53" xfId="0" applyNumberFormat="1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1" fontId="3" fillId="0" borderId="55" xfId="0" applyNumberFormat="1" applyFont="1" applyBorder="1" applyAlignment="1">
      <alignment horizontal="center" vertical="top" wrapText="1"/>
    </xf>
    <xf numFmtId="1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9" xfId="0" applyFont="1" applyFill="1" applyBorder="1" applyAlignment="1" applyProtection="1">
      <alignment horizontal="center" vertical="center" wrapText="1"/>
      <protection locked="0"/>
    </xf>
    <xf numFmtId="0" fontId="16" fillId="33" borderId="48" xfId="0" applyFont="1" applyFill="1" applyBorder="1" applyAlignment="1" applyProtection="1">
      <alignment horizontal="center" vertical="center" wrapText="1"/>
      <protection locked="0"/>
    </xf>
    <xf numFmtId="0" fontId="16" fillId="33" borderId="22" xfId="0" applyFont="1" applyFill="1" applyBorder="1" applyAlignment="1" applyProtection="1">
      <alignment horizontal="center" vertical="center" wrapText="1"/>
      <protection locked="0"/>
    </xf>
    <xf numFmtId="0" fontId="16" fillId="33" borderId="49" xfId="0" applyFont="1" applyFill="1" applyBorder="1" applyAlignment="1" applyProtection="1">
      <alignment horizontal="center" vertical="center" wrapText="1"/>
      <protection locked="0"/>
    </xf>
    <xf numFmtId="1" fontId="16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84" fillId="33" borderId="8" xfId="0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 applyProtection="1">
      <alignment horizontal="center" vertical="top" wrapText="1"/>
      <protection locked="0"/>
    </xf>
    <xf numFmtId="1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4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49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4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8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16" xfId="0" applyNumberFormat="1" applyFont="1" applyFill="1" applyBorder="1" applyAlignment="1" applyProtection="1">
      <alignment horizontal="left" vertical="top" wrapText="1"/>
      <protection locked="0"/>
    </xf>
    <xf numFmtId="1" fontId="16" fillId="33" borderId="22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47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9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48" xfId="0" applyNumberFormat="1" applyFont="1" applyFill="1" applyBorder="1" applyAlignment="1" applyProtection="1">
      <alignment horizontal="center" vertical="center" wrapText="1"/>
      <protection locked="0"/>
    </xf>
    <xf numFmtId="1" fontId="1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8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0" fontId="92" fillId="0" borderId="8" xfId="0" applyFont="1" applyBorder="1" applyAlignment="1">
      <alignment horizontal="center" vertical="center"/>
    </xf>
    <xf numFmtId="0" fontId="92" fillId="0" borderId="8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2" fillId="0" borderId="23" xfId="0" applyFont="1" applyBorder="1" applyAlignment="1">
      <alignment horizontal="center" vertical="center" wrapText="1"/>
    </xf>
    <xf numFmtId="0" fontId="92" fillId="0" borderId="24" xfId="0" applyFont="1" applyBorder="1" applyAlignment="1">
      <alignment horizontal="center" vertical="center" wrapText="1"/>
    </xf>
    <xf numFmtId="0" fontId="9" fillId="33" borderId="8" xfId="110" applyFont="1" applyFill="1" applyBorder="1" applyAlignment="1">
      <alignment horizontal="center" vertical="center" wrapText="1"/>
      <protection/>
    </xf>
    <xf numFmtId="2" fontId="9" fillId="33" borderId="8" xfId="110" applyNumberFormat="1" applyFont="1" applyFill="1" applyBorder="1" applyAlignment="1">
      <alignment horizontal="center" vertical="center" wrapText="1"/>
      <protection/>
    </xf>
    <xf numFmtId="0" fontId="9" fillId="33" borderId="18" xfId="110" applyFont="1" applyFill="1" applyBorder="1" applyAlignment="1">
      <alignment horizontal="center" vertical="center" wrapText="1"/>
      <protection/>
    </xf>
    <xf numFmtId="0" fontId="9" fillId="33" borderId="28" xfId="110" applyFont="1" applyFill="1" applyBorder="1" applyAlignment="1">
      <alignment horizontal="center" vertical="center" wrapText="1"/>
      <protection/>
    </xf>
    <xf numFmtId="0" fontId="9" fillId="33" borderId="25" xfId="110" applyFont="1" applyFill="1" applyBorder="1" applyAlignment="1">
      <alignment horizontal="center" vertical="center" wrapText="1"/>
      <protection/>
    </xf>
    <xf numFmtId="0" fontId="9" fillId="33" borderId="0" xfId="110" applyFont="1" applyFill="1" applyAlignment="1">
      <alignment horizontal="center" vertical="center" wrapText="1"/>
      <protection/>
    </xf>
    <xf numFmtId="0" fontId="18" fillId="33" borderId="19" xfId="110" applyFont="1" applyFill="1" applyBorder="1" applyAlignment="1">
      <alignment horizontal="center" vertical="center" wrapText="1"/>
      <protection/>
    </xf>
    <xf numFmtId="0" fontId="102" fillId="33" borderId="52" xfId="0" applyFont="1" applyFill="1" applyBorder="1" applyAlignment="1">
      <alignment horizontal="center" vertical="center"/>
    </xf>
    <xf numFmtId="0" fontId="102" fillId="33" borderId="56" xfId="0" applyFont="1" applyFill="1" applyBorder="1" applyAlignment="1">
      <alignment horizontal="center" vertical="center"/>
    </xf>
    <xf numFmtId="0" fontId="102" fillId="33" borderId="12" xfId="0" applyFont="1" applyFill="1" applyBorder="1" applyAlignment="1">
      <alignment horizontal="center" vertical="center"/>
    </xf>
    <xf numFmtId="0" fontId="94" fillId="33" borderId="8" xfId="0" applyFont="1" applyFill="1" applyBorder="1" applyAlignment="1">
      <alignment horizontal="center" vertical="center" wrapText="1"/>
    </xf>
    <xf numFmtId="0" fontId="94" fillId="33" borderId="24" xfId="0" applyFont="1" applyFill="1" applyBorder="1" applyAlignment="1">
      <alignment horizontal="center" vertical="center" wrapText="1"/>
    </xf>
    <xf numFmtId="0" fontId="96" fillId="33" borderId="24" xfId="0" applyFont="1" applyFill="1" applyBorder="1" applyAlignment="1">
      <alignment horizontal="center" vertical="center" wrapText="1"/>
    </xf>
    <xf numFmtId="0" fontId="94" fillId="33" borderId="5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top" wrapText="1"/>
      <protection locked="0"/>
    </xf>
    <xf numFmtId="2" fontId="5" fillId="33" borderId="19" xfId="0" applyNumberFormat="1" applyFont="1" applyFill="1" applyBorder="1" applyAlignment="1" applyProtection="1">
      <alignment horizontal="center" vertical="top" wrapText="1"/>
      <protection locked="0"/>
    </xf>
    <xf numFmtId="0" fontId="5" fillId="33" borderId="8" xfId="0" applyFont="1" applyFill="1" applyBorder="1" applyAlignment="1" applyProtection="1">
      <alignment horizontal="center" vertical="center" wrapText="1"/>
      <protection locked="0"/>
    </xf>
    <xf numFmtId="2" fontId="5" fillId="33" borderId="8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8" xfId="0" applyNumberFormat="1" applyFont="1" applyFill="1" applyBorder="1" applyAlignment="1" applyProtection="1">
      <alignment horizontal="center" vertical="top" wrapText="1"/>
      <protection locked="0"/>
    </xf>
    <xf numFmtId="0" fontId="6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cel Built-in Normal" xfId="48"/>
    <cellStyle name="Excel Built-in Normal 2" xfId="49"/>
    <cellStyle name="Explanatory Text" xfId="50"/>
    <cellStyle name="Followed Hyperlink" xfId="51"/>
    <cellStyle name="Good" xfId="52"/>
    <cellStyle name="Heading 1" xfId="53"/>
    <cellStyle name="Heading 1 2" xfId="54"/>
    <cellStyle name="Heading 1 2 2" xfId="55"/>
    <cellStyle name="Heading 1 3" xfId="56"/>
    <cellStyle name="Heading 2" xfId="57"/>
    <cellStyle name="Heading 2 2" xfId="58"/>
    <cellStyle name="Heading 2 2 2" xfId="59"/>
    <cellStyle name="Heading 2 3" xfId="60"/>
    <cellStyle name="Heading 3" xfId="61"/>
    <cellStyle name="Heading 4" xfId="62"/>
    <cellStyle name="Hyperlink" xfId="63"/>
    <cellStyle name="Hyperlink 2" xfId="64"/>
    <cellStyle name="Input" xfId="65"/>
    <cellStyle name="Linked Cell" xfId="66"/>
    <cellStyle name="Neutral" xfId="67"/>
    <cellStyle name="Normal 190" xfId="68"/>
    <cellStyle name="Normal 2" xfId="69"/>
    <cellStyle name="Normal 2 2" xfId="70"/>
    <cellStyle name="Normal 2 2 2" xfId="71"/>
    <cellStyle name="Normal 2 2 2 2" xfId="72"/>
    <cellStyle name="Normal 2 2 2 2 2" xfId="73"/>
    <cellStyle name="Normal 2 2 2 2 3" xfId="74"/>
    <cellStyle name="Normal 2 2 2 2 4" xfId="75"/>
    <cellStyle name="Normal 2 2 2 3" xfId="76"/>
    <cellStyle name="Normal 2 2 3" xfId="77"/>
    <cellStyle name="Normal 2 2 4" xfId="78"/>
    <cellStyle name="Normal 2 2 5" xfId="79"/>
    <cellStyle name="Normal 2 2 6" xfId="80"/>
    <cellStyle name="Normal 2 3" xfId="81"/>
    <cellStyle name="Normal 2 3 2" xfId="82"/>
    <cellStyle name="Normal 2 3 2 2" xfId="83"/>
    <cellStyle name="Normal 2 3 2 3" xfId="84"/>
    <cellStyle name="Normal 2 3 3" xfId="85"/>
    <cellStyle name="Normal 2 3 4" xfId="86"/>
    <cellStyle name="Normal 2 4" xfId="87"/>
    <cellStyle name="Normal 2 5" xfId="88"/>
    <cellStyle name="Normal 224" xfId="89"/>
    <cellStyle name="Normal 225" xfId="90"/>
    <cellStyle name="Normal 226" xfId="91"/>
    <cellStyle name="Normal 227" xfId="92"/>
    <cellStyle name="Normal 228" xfId="93"/>
    <cellStyle name="Normal 230" xfId="94"/>
    <cellStyle name="Normal 231" xfId="95"/>
    <cellStyle name="Normal 232" xfId="96"/>
    <cellStyle name="Normal 233" xfId="97"/>
    <cellStyle name="Normal 234" xfId="98"/>
    <cellStyle name="Normal 235" xfId="99"/>
    <cellStyle name="Normal 238" xfId="100"/>
    <cellStyle name="Normal 239" xfId="101"/>
    <cellStyle name="Normal 3" xfId="102"/>
    <cellStyle name="Normal 3 2" xfId="103"/>
    <cellStyle name="Normal 3 2 2" xfId="104"/>
    <cellStyle name="Normal 3 2 3" xfId="105"/>
    <cellStyle name="Normal 3 3" xfId="106"/>
    <cellStyle name="Normal 4" xfId="107"/>
    <cellStyle name="Normal 5" xfId="108"/>
    <cellStyle name="Normal 6" xfId="109"/>
    <cellStyle name="Normal_Bank wise progress 2" xfId="110"/>
    <cellStyle name="Note" xfId="111"/>
    <cellStyle name="Output" xfId="112"/>
    <cellStyle name="Percent" xfId="113"/>
    <cellStyle name="Title" xfId="114"/>
    <cellStyle name="Total" xfId="115"/>
    <cellStyle name="Warning Text" xfId="116"/>
  </cellStyles>
  <dxfs count="19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4" tint="-0.24997000396251678"/>
      </font>
    </dxf>
    <dxf>
      <font>
        <b/>
        <color theme="4" tint="-0.24997000396251678"/>
      </font>
    </dxf>
    <dxf>
      <font>
        <b/>
        <i val="0"/>
      </font>
      <border>
        <top style="double">
          <color theme="4"/>
        </top>
      </border>
    </dxf>
    <dxf>
      <font>
        <color theme="2" tint="-0.7499499917030334"/>
      </font>
      <border>
        <left/>
        <right/>
        <top/>
        <bottom/>
      </border>
    </dxf>
    <dxf>
      <font>
        <color theme="4" tint="-0.24997000396251678"/>
      </font>
      <border>
        <left style="thin">
          <color theme="4" tint="0.5999600291252136"/>
        </left>
        <right style="thin">
          <color theme="4" tint="0.5999600291252136"/>
        </right>
        <top style="thin">
          <color theme="4" tint="0.5999600291252136"/>
        </top>
        <bottom style="thin">
          <color theme="4" tint="0.5999600291252136"/>
        </bottom>
      </border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Sales Invoice Table" defaultPivotStyle="PivotStyleLight16">
    <tableStyle name="Sales Invoice Table" pivot="0" count="7">
      <tableStyleElement type="wholeTable" dxfId="196"/>
      <tableStyleElement type="headerRow" dxfId="195"/>
      <tableStyleElement type="totalRow" dxfId="194"/>
      <tableStyleElement type="firstColumn" dxfId="193"/>
      <tableStyleElement type="lastColumn" dxfId="192"/>
      <tableStyleElement type="firstRowStripe" dxfId="191"/>
      <tableStyleElement type="firstColumnStripe" dxfId="19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hinav\AppData\Local\Temp\161%20SLBC%2030.07.2016_Muke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anch ATM_1"/>
      <sheetName val="CD Ratio_2"/>
      <sheetName val="CD Ratio_3(i)"/>
      <sheetName val="CD Ratio_Dist_3(ii)"/>
      <sheetName val="OutstandingAgri_4"/>
      <sheetName val="MSMEoutstanding_5"/>
      <sheetName val="Pri Sec_outstanding_6"/>
      <sheetName val="Weaker Sec_7"/>
      <sheetName val="NPS_OS_8"/>
      <sheetName val="ACP_Agri_9(i)"/>
      <sheetName val="ACP_Agri_9(ii)"/>
      <sheetName val="ACP_MSME_10"/>
      <sheetName val="ACP_PS_11(i)"/>
      <sheetName val="ACP_PS_11(ii)"/>
      <sheetName val="ACP_NPS_12"/>
      <sheetName val="NPA_13"/>
      <sheetName val="NPA_PS_14"/>
      <sheetName val="NPA_NPS_15"/>
      <sheetName val="NPA_Govt. Sch16"/>
      <sheetName val="KCC_17"/>
      <sheetName val="Education Loan_18"/>
      <sheetName val="SHGs_19"/>
      <sheetName val="Restructured Acs_33"/>
      <sheetName val="Minority_OS_20"/>
      <sheetName val="Minority_Disb_21"/>
      <sheetName val="SCST_OS_22"/>
      <sheetName val="SCST_Disb_23"/>
      <sheetName val="Women_24"/>
      <sheetName val="Restructured loans_25"/>
      <sheetName val="Misc_26"/>
    </sheetNames>
    <sheetDataSet>
      <sheetData sheetId="9">
        <row r="6">
          <cell r="C6">
            <v>54074</v>
          </cell>
          <cell r="D6">
            <v>132297.06</v>
          </cell>
          <cell r="E6">
            <v>2748</v>
          </cell>
        </row>
        <row r="7">
          <cell r="C7">
            <v>1164</v>
          </cell>
          <cell r="D7">
            <v>3275.33</v>
          </cell>
          <cell r="E7">
            <v>336</v>
          </cell>
        </row>
        <row r="8">
          <cell r="C8">
            <v>36322</v>
          </cell>
          <cell r="D8">
            <v>110861.54</v>
          </cell>
          <cell r="E8">
            <v>6359</v>
          </cell>
        </row>
        <row r="9">
          <cell r="C9">
            <v>183600</v>
          </cell>
          <cell r="D9">
            <v>678059.37</v>
          </cell>
          <cell r="E9">
            <v>232871</v>
          </cell>
        </row>
        <row r="10">
          <cell r="C10">
            <v>39084</v>
          </cell>
          <cell r="D10">
            <v>113663.74</v>
          </cell>
          <cell r="E10">
            <v>17903</v>
          </cell>
        </row>
        <row r="11">
          <cell r="C11">
            <v>15</v>
          </cell>
          <cell r="D11">
            <v>25</v>
          </cell>
          <cell r="E11">
            <v>1</v>
          </cell>
        </row>
        <row r="12">
          <cell r="C12">
            <v>21135</v>
          </cell>
          <cell r="D12">
            <v>56486.68</v>
          </cell>
          <cell r="E12">
            <v>16987</v>
          </cell>
        </row>
        <row r="13">
          <cell r="C13">
            <v>196359</v>
          </cell>
          <cell r="D13">
            <v>564434.85</v>
          </cell>
          <cell r="E13">
            <v>45162</v>
          </cell>
        </row>
        <row r="14">
          <cell r="C14">
            <v>4311</v>
          </cell>
          <cell r="D14">
            <v>13963.1</v>
          </cell>
          <cell r="E14">
            <v>1791</v>
          </cell>
        </row>
        <row r="15">
          <cell r="C15">
            <v>11344</v>
          </cell>
          <cell r="D15">
            <v>39277.34</v>
          </cell>
          <cell r="E15">
            <v>1477</v>
          </cell>
        </row>
        <row r="16">
          <cell r="C16">
            <v>7630</v>
          </cell>
          <cell r="D16">
            <v>22892.94</v>
          </cell>
          <cell r="E16">
            <v>5634</v>
          </cell>
        </row>
        <row r="17">
          <cell r="C17">
            <v>3329</v>
          </cell>
          <cell r="D17">
            <v>11227.65</v>
          </cell>
          <cell r="E17">
            <v>2387</v>
          </cell>
        </row>
        <row r="18">
          <cell r="C18">
            <v>3884</v>
          </cell>
          <cell r="D18">
            <v>10855.43</v>
          </cell>
          <cell r="E18">
            <v>196</v>
          </cell>
        </row>
        <row r="19">
          <cell r="C19">
            <v>13936</v>
          </cell>
          <cell r="D19">
            <v>44640.09</v>
          </cell>
          <cell r="E19">
            <v>3522</v>
          </cell>
        </row>
        <row r="20">
          <cell r="C20">
            <v>6145</v>
          </cell>
          <cell r="D20">
            <v>20050.1</v>
          </cell>
          <cell r="E20">
            <v>184</v>
          </cell>
        </row>
        <row r="21">
          <cell r="C21">
            <v>78576</v>
          </cell>
          <cell r="D21">
            <v>254603.81</v>
          </cell>
          <cell r="E21">
            <v>47745</v>
          </cell>
        </row>
        <row r="22">
          <cell r="C22">
            <v>15374</v>
          </cell>
          <cell r="D22">
            <v>39813.05</v>
          </cell>
          <cell r="E22">
            <v>8123</v>
          </cell>
        </row>
        <row r="23">
          <cell r="C23">
            <v>41458</v>
          </cell>
          <cell r="D23">
            <v>131290.8</v>
          </cell>
          <cell r="E23">
            <v>1431</v>
          </cell>
        </row>
        <row r="24">
          <cell r="C24">
            <v>88914</v>
          </cell>
          <cell r="D24">
            <v>210100.66</v>
          </cell>
          <cell r="E24">
            <v>5468</v>
          </cell>
        </row>
        <row r="25">
          <cell r="C25">
            <v>1018</v>
          </cell>
          <cell r="D25">
            <v>2703.56</v>
          </cell>
          <cell r="E25">
            <v>0</v>
          </cell>
        </row>
        <row r="26">
          <cell r="C26">
            <v>4166</v>
          </cell>
          <cell r="D26">
            <v>13146.41</v>
          </cell>
          <cell r="E26">
            <v>1302</v>
          </cell>
        </row>
        <row r="28">
          <cell r="C28">
            <v>65</v>
          </cell>
          <cell r="D28">
            <v>223.17</v>
          </cell>
          <cell r="E28">
            <v>0</v>
          </cell>
        </row>
        <row r="29">
          <cell r="C29">
            <v>28</v>
          </cell>
          <cell r="D29">
            <v>126.06</v>
          </cell>
          <cell r="E29">
            <v>0</v>
          </cell>
        </row>
        <row r="30">
          <cell r="C30">
            <v>321</v>
          </cell>
          <cell r="D30">
            <v>638.35</v>
          </cell>
          <cell r="E30">
            <v>0</v>
          </cell>
        </row>
        <row r="31">
          <cell r="C31">
            <v>125</v>
          </cell>
          <cell r="D31">
            <v>435.81</v>
          </cell>
          <cell r="E31">
            <v>0</v>
          </cell>
        </row>
        <row r="32">
          <cell r="C32">
            <v>759</v>
          </cell>
          <cell r="D32">
            <v>2920.9</v>
          </cell>
          <cell r="E32">
            <v>293</v>
          </cell>
        </row>
        <row r="33">
          <cell r="C33">
            <v>579118</v>
          </cell>
          <cell r="D33">
            <v>1846958.41</v>
          </cell>
          <cell r="E33">
            <v>146222</v>
          </cell>
        </row>
        <row r="35">
          <cell r="C35">
            <v>22872</v>
          </cell>
          <cell r="D35">
            <v>65152.83</v>
          </cell>
          <cell r="E35">
            <v>13705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401</v>
          </cell>
          <cell r="D37">
            <v>873.08</v>
          </cell>
          <cell r="E37">
            <v>0</v>
          </cell>
        </row>
        <row r="38">
          <cell r="C38">
            <v>28</v>
          </cell>
          <cell r="D38">
            <v>126.06</v>
          </cell>
          <cell r="E38">
            <v>0</v>
          </cell>
        </row>
        <row r="39">
          <cell r="C39">
            <v>672</v>
          </cell>
          <cell r="D39">
            <v>2736.89</v>
          </cell>
          <cell r="E39">
            <v>528</v>
          </cell>
        </row>
        <row r="40">
          <cell r="C40">
            <v>29526</v>
          </cell>
          <cell r="D40">
            <v>110428.58</v>
          </cell>
          <cell r="E40">
            <v>10971</v>
          </cell>
        </row>
        <row r="41">
          <cell r="C41">
            <v>30885</v>
          </cell>
          <cell r="D41">
            <v>105493.41</v>
          </cell>
          <cell r="E41">
            <v>42569.085</v>
          </cell>
        </row>
        <row r="42">
          <cell r="C42">
            <v>2517</v>
          </cell>
          <cell r="D42">
            <v>5912.73</v>
          </cell>
          <cell r="E42">
            <v>1501</v>
          </cell>
        </row>
        <row r="43">
          <cell r="C43">
            <v>695</v>
          </cell>
          <cell r="D43">
            <v>516.98</v>
          </cell>
          <cell r="E43">
            <v>3485</v>
          </cell>
        </row>
        <row r="44">
          <cell r="C44">
            <v>74</v>
          </cell>
          <cell r="D44">
            <v>319.68</v>
          </cell>
          <cell r="E44">
            <v>4</v>
          </cell>
        </row>
        <row r="45">
          <cell r="C45">
            <v>384</v>
          </cell>
          <cell r="D45">
            <v>1107.02</v>
          </cell>
          <cell r="E45">
            <v>88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4802</v>
          </cell>
          <cell r="D47">
            <v>19800.97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28</v>
          </cell>
          <cell r="D49">
            <v>126.06</v>
          </cell>
          <cell r="E49">
            <v>0</v>
          </cell>
        </row>
        <row r="50">
          <cell r="C50">
            <v>527</v>
          </cell>
          <cell r="D50">
            <v>1179.51</v>
          </cell>
          <cell r="E50">
            <v>1357</v>
          </cell>
        </row>
        <row r="51">
          <cell r="C51">
            <v>1199</v>
          </cell>
          <cell r="D51">
            <v>3197.06</v>
          </cell>
          <cell r="E51">
            <v>0</v>
          </cell>
        </row>
        <row r="53">
          <cell r="C53">
            <v>77034</v>
          </cell>
          <cell r="D53">
            <v>272593.48</v>
          </cell>
          <cell r="E53">
            <v>40002</v>
          </cell>
        </row>
        <row r="54">
          <cell r="C54">
            <v>142602</v>
          </cell>
          <cell r="D54">
            <v>269917.7</v>
          </cell>
          <cell r="E54">
            <v>91666</v>
          </cell>
        </row>
        <row r="55">
          <cell r="C55">
            <v>108485.042837079</v>
          </cell>
          <cell r="D55">
            <v>412130.97</v>
          </cell>
          <cell r="E55">
            <v>65852</v>
          </cell>
        </row>
        <row r="57">
          <cell r="C57">
            <v>665523</v>
          </cell>
          <cell r="D57">
            <v>1996110.99</v>
          </cell>
          <cell r="E57">
            <v>1462195</v>
          </cell>
        </row>
      </sheetData>
      <sheetData sheetId="10">
        <row r="6">
          <cell r="M6">
            <v>59642</v>
          </cell>
          <cell r="N6">
            <v>141080.28</v>
          </cell>
          <cell r="P6">
            <v>3953.38</v>
          </cell>
        </row>
        <row r="7">
          <cell r="M7">
            <v>1222</v>
          </cell>
          <cell r="N7">
            <v>3492.79</v>
          </cell>
          <cell r="P7">
            <v>641</v>
          </cell>
        </row>
        <row r="8">
          <cell r="M8">
            <v>38048</v>
          </cell>
          <cell r="N8">
            <v>118221.93999999999</v>
          </cell>
          <cell r="P8">
            <v>21758</v>
          </cell>
        </row>
        <row r="9">
          <cell r="M9">
            <v>192320</v>
          </cell>
          <cell r="N9">
            <v>723077.52</v>
          </cell>
          <cell r="P9">
            <v>323510.8250813999</v>
          </cell>
        </row>
        <row r="10">
          <cell r="M10">
            <v>40939</v>
          </cell>
          <cell r="N10">
            <v>121210.17000000001</v>
          </cell>
          <cell r="P10">
            <v>22730</v>
          </cell>
        </row>
        <row r="11">
          <cell r="M11">
            <v>30</v>
          </cell>
          <cell r="N11">
            <v>50</v>
          </cell>
          <cell r="P11">
            <v>1</v>
          </cell>
        </row>
        <row r="12">
          <cell r="M12">
            <v>22139</v>
          </cell>
          <cell r="N12">
            <v>60236.99</v>
          </cell>
          <cell r="P12">
            <v>28589</v>
          </cell>
        </row>
        <row r="13">
          <cell r="M13">
            <v>205684</v>
          </cell>
          <cell r="N13">
            <v>601909.1599999999</v>
          </cell>
          <cell r="P13">
            <v>126975.04336000001</v>
          </cell>
        </row>
        <row r="14">
          <cell r="M14">
            <v>4515</v>
          </cell>
          <cell r="N14">
            <v>14890.14</v>
          </cell>
          <cell r="P14">
            <v>5278.2</v>
          </cell>
        </row>
        <row r="15">
          <cell r="M15">
            <v>11882</v>
          </cell>
          <cell r="N15">
            <v>41885.07</v>
          </cell>
          <cell r="P15">
            <v>4856.5</v>
          </cell>
        </row>
        <row r="16">
          <cell r="M16">
            <v>7993</v>
          </cell>
          <cell r="N16">
            <v>24412.86</v>
          </cell>
          <cell r="P16">
            <v>14192.22</v>
          </cell>
        </row>
        <row r="17">
          <cell r="M17">
            <v>3488</v>
          </cell>
          <cell r="N17">
            <v>11973.08</v>
          </cell>
          <cell r="P17">
            <v>3753.52</v>
          </cell>
        </row>
        <row r="18">
          <cell r="M18">
            <v>4069</v>
          </cell>
          <cell r="N18">
            <v>11576.15</v>
          </cell>
          <cell r="P18">
            <v>5066.99</v>
          </cell>
        </row>
        <row r="19">
          <cell r="M19">
            <v>14598</v>
          </cell>
          <cell r="N19">
            <v>47603.869999999995</v>
          </cell>
          <cell r="P19">
            <v>14168.960000000001</v>
          </cell>
        </row>
        <row r="20">
          <cell r="M20">
            <v>6439</v>
          </cell>
          <cell r="N20">
            <v>21381.269999999997</v>
          </cell>
          <cell r="P20">
            <v>385</v>
          </cell>
        </row>
        <row r="21">
          <cell r="M21">
            <v>82310</v>
          </cell>
          <cell r="N21">
            <v>271507.63</v>
          </cell>
          <cell r="P21">
            <v>121109</v>
          </cell>
        </row>
        <row r="22">
          <cell r="M22">
            <v>16104</v>
          </cell>
          <cell r="N22">
            <v>42456.340000000004</v>
          </cell>
          <cell r="P22">
            <v>12045</v>
          </cell>
        </row>
        <row r="23">
          <cell r="M23">
            <v>43428</v>
          </cell>
          <cell r="N23">
            <v>140007.55</v>
          </cell>
          <cell r="P23">
            <v>3628</v>
          </cell>
        </row>
        <row r="24">
          <cell r="M24">
            <v>93138</v>
          </cell>
          <cell r="N24">
            <v>224049.79</v>
          </cell>
          <cell r="P24">
            <v>14796.49</v>
          </cell>
        </row>
        <row r="25">
          <cell r="M25">
            <v>1068</v>
          </cell>
          <cell r="N25">
            <v>2883.05</v>
          </cell>
          <cell r="P25">
            <v>0</v>
          </cell>
        </row>
        <row r="26">
          <cell r="M26">
            <v>4366</v>
          </cell>
          <cell r="N26">
            <v>14019.23</v>
          </cell>
          <cell r="P26">
            <v>1728.5900000000001</v>
          </cell>
        </row>
        <row r="28">
          <cell r="M28">
            <v>68</v>
          </cell>
          <cell r="N28">
            <v>237.98</v>
          </cell>
          <cell r="P28">
            <v>0</v>
          </cell>
        </row>
        <row r="29">
          <cell r="M29">
            <v>30</v>
          </cell>
          <cell r="N29">
            <v>134.43</v>
          </cell>
          <cell r="P29">
            <v>0</v>
          </cell>
        </row>
        <row r="30">
          <cell r="M30">
            <v>337</v>
          </cell>
          <cell r="N30">
            <v>680.73</v>
          </cell>
          <cell r="P30">
            <v>0</v>
          </cell>
        </row>
        <row r="31">
          <cell r="M31">
            <v>131</v>
          </cell>
          <cell r="N31">
            <v>464.75</v>
          </cell>
          <cell r="P31">
            <v>0</v>
          </cell>
        </row>
        <row r="32">
          <cell r="M32">
            <v>796</v>
          </cell>
          <cell r="N32">
            <v>3114.82</v>
          </cell>
          <cell r="P32">
            <v>707.86</v>
          </cell>
        </row>
        <row r="33">
          <cell r="M33">
            <v>606624</v>
          </cell>
          <cell r="N33">
            <v>1969582.8499999999</v>
          </cell>
          <cell r="P33">
            <v>281884</v>
          </cell>
        </row>
        <row r="35">
          <cell r="M35">
            <v>23960</v>
          </cell>
          <cell r="N35">
            <v>69478.5</v>
          </cell>
          <cell r="P35">
            <v>10392.48</v>
          </cell>
        </row>
        <row r="36">
          <cell r="M36">
            <v>0</v>
          </cell>
          <cell r="N36">
            <v>0</v>
          </cell>
          <cell r="P36">
            <v>0</v>
          </cell>
        </row>
        <row r="37">
          <cell r="M37">
            <v>420</v>
          </cell>
          <cell r="N37">
            <v>931.0500000000001</v>
          </cell>
          <cell r="P37">
            <v>0</v>
          </cell>
        </row>
        <row r="38">
          <cell r="M38">
            <v>30</v>
          </cell>
          <cell r="N38">
            <v>134.43</v>
          </cell>
          <cell r="P38">
            <v>0</v>
          </cell>
        </row>
        <row r="39">
          <cell r="M39">
            <v>706</v>
          </cell>
          <cell r="N39">
            <v>2918.6</v>
          </cell>
          <cell r="P39">
            <v>1487.56</v>
          </cell>
        </row>
        <row r="40">
          <cell r="M40">
            <v>30928</v>
          </cell>
          <cell r="N40">
            <v>117760.22</v>
          </cell>
          <cell r="P40">
            <v>50039.4708663</v>
          </cell>
        </row>
        <row r="41">
          <cell r="M41">
            <v>32319</v>
          </cell>
          <cell r="N41">
            <v>112497.40000000001</v>
          </cell>
          <cell r="P41">
            <v>86044.1852703</v>
          </cell>
        </row>
        <row r="42">
          <cell r="M42">
            <v>2639</v>
          </cell>
          <cell r="N42">
            <v>6305.29</v>
          </cell>
          <cell r="P42">
            <v>2948</v>
          </cell>
        </row>
        <row r="43">
          <cell r="M43">
            <v>839</v>
          </cell>
          <cell r="N43">
            <v>817.62</v>
          </cell>
          <cell r="P43">
            <v>1254</v>
          </cell>
        </row>
        <row r="44">
          <cell r="M44">
            <v>77</v>
          </cell>
          <cell r="N44">
            <v>340.91</v>
          </cell>
          <cell r="P44">
            <v>20</v>
          </cell>
        </row>
        <row r="45">
          <cell r="M45">
            <v>404</v>
          </cell>
          <cell r="N45">
            <v>1180.53</v>
          </cell>
          <cell r="P45">
            <v>832</v>
          </cell>
        </row>
        <row r="46">
          <cell r="M46">
            <v>0</v>
          </cell>
          <cell r="N46">
            <v>0</v>
          </cell>
          <cell r="P46">
            <v>0</v>
          </cell>
        </row>
        <row r="47">
          <cell r="M47">
            <v>5031</v>
          </cell>
          <cell r="N47">
            <v>21115.61</v>
          </cell>
          <cell r="P47">
            <v>0</v>
          </cell>
        </row>
        <row r="48">
          <cell r="M48">
            <v>0</v>
          </cell>
          <cell r="N48">
            <v>0</v>
          </cell>
          <cell r="P48">
            <v>0</v>
          </cell>
        </row>
        <row r="49">
          <cell r="M49">
            <v>30</v>
          </cell>
          <cell r="N49">
            <v>134.43</v>
          </cell>
          <cell r="P49">
            <v>0</v>
          </cell>
        </row>
        <row r="50">
          <cell r="M50">
            <v>553</v>
          </cell>
          <cell r="N50">
            <v>1257.82</v>
          </cell>
          <cell r="P50">
            <v>6365.4461732</v>
          </cell>
        </row>
        <row r="51">
          <cell r="M51">
            <v>1256</v>
          </cell>
          <cell r="N51">
            <v>3409.31</v>
          </cell>
          <cell r="P51">
            <v>0</v>
          </cell>
        </row>
        <row r="53">
          <cell r="M53">
            <v>79753.67292157131</v>
          </cell>
          <cell r="N53">
            <v>289600.64999999997</v>
          </cell>
          <cell r="P53">
            <v>62198</v>
          </cell>
        </row>
        <row r="54">
          <cell r="M54">
            <v>146373.4133699849</v>
          </cell>
          <cell r="N54">
            <v>284530.84</v>
          </cell>
          <cell r="P54">
            <v>42902</v>
          </cell>
        </row>
        <row r="55">
          <cell r="M55">
            <v>117579.042837079</v>
          </cell>
          <cell r="N55">
            <v>443891.01999999996</v>
          </cell>
          <cell r="P55">
            <v>101927.62000000001</v>
          </cell>
        </row>
        <row r="57">
          <cell r="M57">
            <v>709321</v>
          </cell>
          <cell r="N57">
            <v>2130414.34</v>
          </cell>
        </row>
        <row r="58">
          <cell r="M58">
            <v>709321</v>
          </cell>
          <cell r="N58">
            <v>2130414.34</v>
          </cell>
        </row>
      </sheetData>
      <sheetData sheetId="11">
        <row r="6">
          <cell r="C6">
            <v>12951</v>
          </cell>
          <cell r="D6">
            <v>44687.33</v>
          </cell>
          <cell r="P6">
            <v>2227.27</v>
          </cell>
        </row>
        <row r="7">
          <cell r="C7">
            <v>1105</v>
          </cell>
          <cell r="D7">
            <v>4894.62</v>
          </cell>
          <cell r="P7">
            <v>364</v>
          </cell>
        </row>
        <row r="8">
          <cell r="C8">
            <v>11898</v>
          </cell>
          <cell r="D8">
            <v>47874.5</v>
          </cell>
          <cell r="P8">
            <v>35311.5</v>
          </cell>
        </row>
        <row r="9">
          <cell r="C9">
            <v>4346</v>
          </cell>
          <cell r="D9">
            <v>106888.94</v>
          </cell>
          <cell r="P9">
            <v>55971.11</v>
          </cell>
        </row>
        <row r="10">
          <cell r="C10">
            <v>12474</v>
          </cell>
          <cell r="D10">
            <v>52578.02</v>
          </cell>
          <cell r="P10">
            <v>39204</v>
          </cell>
        </row>
        <row r="11">
          <cell r="C11">
            <v>252</v>
          </cell>
          <cell r="D11">
            <v>998.67</v>
          </cell>
          <cell r="P11">
            <v>20.5</v>
          </cell>
        </row>
        <row r="12">
          <cell r="C12">
            <v>6042</v>
          </cell>
          <cell r="D12">
            <v>21043.21</v>
          </cell>
          <cell r="P12">
            <v>7708</v>
          </cell>
        </row>
        <row r="13">
          <cell r="C13">
            <v>22260</v>
          </cell>
          <cell r="D13">
            <v>93052.96</v>
          </cell>
          <cell r="P13">
            <v>35236.38</v>
          </cell>
        </row>
        <row r="14">
          <cell r="C14">
            <v>2036</v>
          </cell>
          <cell r="D14">
            <v>7809.32</v>
          </cell>
          <cell r="P14">
            <v>42348.54</v>
          </cell>
        </row>
        <row r="15">
          <cell r="C15">
            <v>4760</v>
          </cell>
          <cell r="D15">
            <v>18737.74</v>
          </cell>
          <cell r="P15">
            <v>6963</v>
          </cell>
        </row>
        <row r="16">
          <cell r="C16">
            <v>5422</v>
          </cell>
          <cell r="D16">
            <v>19800.22</v>
          </cell>
          <cell r="P16">
            <v>33067.81</v>
          </cell>
        </row>
        <row r="17">
          <cell r="C17">
            <v>1846</v>
          </cell>
          <cell r="D17">
            <v>7307.16</v>
          </cell>
          <cell r="P17">
            <v>12098.9</v>
          </cell>
        </row>
        <row r="18">
          <cell r="C18">
            <v>1874</v>
          </cell>
          <cell r="D18">
            <v>8495.37</v>
          </cell>
          <cell r="P18">
            <v>2846.67</v>
          </cell>
        </row>
        <row r="19">
          <cell r="C19">
            <v>4046</v>
          </cell>
          <cell r="D19">
            <v>16252.72</v>
          </cell>
          <cell r="P19">
            <v>2311.4</v>
          </cell>
        </row>
        <row r="20">
          <cell r="C20">
            <v>2008</v>
          </cell>
          <cell r="D20">
            <v>8120.85</v>
          </cell>
          <cell r="P20">
            <v>1481</v>
          </cell>
        </row>
        <row r="21">
          <cell r="C21">
            <v>28512</v>
          </cell>
          <cell r="D21">
            <v>122478.22</v>
          </cell>
          <cell r="P21">
            <v>148345</v>
          </cell>
        </row>
        <row r="22">
          <cell r="C22">
            <v>3768</v>
          </cell>
          <cell r="D22">
            <v>16285.52</v>
          </cell>
          <cell r="P22">
            <v>9655</v>
          </cell>
        </row>
        <row r="23">
          <cell r="C23">
            <v>12924</v>
          </cell>
          <cell r="D23">
            <v>57574.24</v>
          </cell>
          <cell r="P23">
            <v>10811</v>
          </cell>
        </row>
        <row r="24">
          <cell r="C24">
            <v>16712</v>
          </cell>
          <cell r="D24">
            <v>47944.62</v>
          </cell>
          <cell r="P24">
            <v>11551.859</v>
          </cell>
        </row>
        <row r="25">
          <cell r="C25">
            <v>1228</v>
          </cell>
          <cell r="D25">
            <v>5724.3</v>
          </cell>
          <cell r="P25">
            <v>6437</v>
          </cell>
        </row>
        <row r="26">
          <cell r="C26">
            <v>1648</v>
          </cell>
          <cell r="D26">
            <v>6742.97</v>
          </cell>
          <cell r="P26">
            <v>1727.05</v>
          </cell>
        </row>
        <row r="28">
          <cell r="C28">
            <v>326</v>
          </cell>
          <cell r="D28">
            <v>1762.08</v>
          </cell>
          <cell r="P28">
            <v>69</v>
          </cell>
        </row>
        <row r="29">
          <cell r="C29">
            <v>298</v>
          </cell>
          <cell r="D29">
            <v>1375.24</v>
          </cell>
          <cell r="P29">
            <v>19</v>
          </cell>
        </row>
        <row r="30">
          <cell r="C30">
            <v>896</v>
          </cell>
          <cell r="D30">
            <v>4096.45</v>
          </cell>
          <cell r="P30">
            <v>3.6</v>
          </cell>
        </row>
        <row r="31">
          <cell r="C31">
            <v>2994</v>
          </cell>
          <cell r="D31">
            <v>16182.8</v>
          </cell>
          <cell r="P31">
            <v>47</v>
          </cell>
        </row>
        <row r="32">
          <cell r="C32">
            <v>966</v>
          </cell>
          <cell r="D32">
            <v>4325.99</v>
          </cell>
          <cell r="P32">
            <v>0</v>
          </cell>
        </row>
        <row r="33">
          <cell r="C33">
            <v>117829</v>
          </cell>
          <cell r="D33">
            <v>451789.28</v>
          </cell>
          <cell r="P33">
            <v>74885</v>
          </cell>
        </row>
        <row r="35">
          <cell r="C35">
            <v>10504</v>
          </cell>
          <cell r="D35">
            <v>50015.26</v>
          </cell>
          <cell r="P35">
            <v>9317.96</v>
          </cell>
        </row>
        <row r="36">
          <cell r="C36">
            <v>166</v>
          </cell>
          <cell r="D36">
            <v>905.91</v>
          </cell>
          <cell r="P36">
            <v>79.52332</v>
          </cell>
        </row>
        <row r="37">
          <cell r="C37">
            <v>19</v>
          </cell>
          <cell r="D37">
            <v>225.65</v>
          </cell>
          <cell r="P37">
            <v>0</v>
          </cell>
        </row>
        <row r="38">
          <cell r="C38">
            <v>104</v>
          </cell>
          <cell r="D38">
            <v>399.24</v>
          </cell>
          <cell r="P38">
            <v>0</v>
          </cell>
        </row>
        <row r="39">
          <cell r="C39">
            <v>575</v>
          </cell>
          <cell r="D39">
            <v>2268.13</v>
          </cell>
          <cell r="P39">
            <v>2487.3</v>
          </cell>
        </row>
        <row r="40">
          <cell r="C40">
            <v>13760</v>
          </cell>
          <cell r="D40">
            <v>65246.29</v>
          </cell>
          <cell r="P40">
            <v>33864.6</v>
          </cell>
        </row>
        <row r="41">
          <cell r="C41">
            <v>12948</v>
          </cell>
          <cell r="D41">
            <v>58328.97</v>
          </cell>
          <cell r="P41">
            <v>103814.895</v>
          </cell>
        </row>
        <row r="42">
          <cell r="C42">
            <v>3170</v>
          </cell>
          <cell r="D42">
            <v>16864.43</v>
          </cell>
          <cell r="P42">
            <v>0</v>
          </cell>
        </row>
        <row r="43">
          <cell r="C43">
            <v>132</v>
          </cell>
          <cell r="D43">
            <v>468.18</v>
          </cell>
          <cell r="P43">
            <v>25312</v>
          </cell>
        </row>
        <row r="44">
          <cell r="C44">
            <v>468</v>
          </cell>
          <cell r="D44">
            <v>2747.56</v>
          </cell>
          <cell r="P44">
            <v>22</v>
          </cell>
        </row>
        <row r="45">
          <cell r="C45">
            <v>792</v>
          </cell>
          <cell r="D45">
            <v>3084.21</v>
          </cell>
          <cell r="P45">
            <v>463</v>
          </cell>
        </row>
        <row r="46">
          <cell r="C46">
            <v>238</v>
          </cell>
          <cell r="D46">
            <v>1272.97</v>
          </cell>
          <cell r="P46">
            <v>0</v>
          </cell>
        </row>
        <row r="47">
          <cell r="C47">
            <v>3716</v>
          </cell>
          <cell r="D47">
            <v>20050.19</v>
          </cell>
          <cell r="P47">
            <v>0</v>
          </cell>
        </row>
        <row r="48">
          <cell r="C48">
            <v>172</v>
          </cell>
          <cell r="D48">
            <v>936.28</v>
          </cell>
          <cell r="P48">
            <v>122</v>
          </cell>
        </row>
        <row r="49">
          <cell r="C49">
            <v>290</v>
          </cell>
          <cell r="D49">
            <v>1377.36</v>
          </cell>
          <cell r="P49">
            <v>5</v>
          </cell>
        </row>
        <row r="50">
          <cell r="C50">
            <v>88</v>
          </cell>
          <cell r="D50">
            <v>357.91</v>
          </cell>
          <cell r="P50">
            <v>2566.5647926</v>
          </cell>
        </row>
        <row r="51">
          <cell r="C51">
            <v>928</v>
          </cell>
          <cell r="D51">
            <v>3588.49</v>
          </cell>
          <cell r="P51">
            <v>0</v>
          </cell>
        </row>
        <row r="53">
          <cell r="C53">
            <v>12689</v>
          </cell>
          <cell r="D53">
            <v>36924</v>
          </cell>
          <cell r="P53">
            <v>1265</v>
          </cell>
        </row>
        <row r="54">
          <cell r="C54">
            <v>11420.1383405531</v>
          </cell>
          <cell r="D54">
            <v>24495.33</v>
          </cell>
          <cell r="P54">
            <v>8270</v>
          </cell>
        </row>
        <row r="55">
          <cell r="C55">
            <v>9666.83193694042</v>
          </cell>
          <cell r="D55">
            <v>20726.86</v>
          </cell>
          <cell r="P55">
            <v>2403.12</v>
          </cell>
        </row>
        <row r="57">
          <cell r="C57">
            <v>19657</v>
          </cell>
          <cell r="D57">
            <v>107222.6</v>
          </cell>
        </row>
        <row r="58">
          <cell r="C58">
            <v>19657</v>
          </cell>
          <cell r="D58">
            <v>107222.6</v>
          </cell>
        </row>
      </sheetData>
      <sheetData sheetId="12">
        <row r="6">
          <cell r="C6">
            <v>48</v>
          </cell>
          <cell r="D6">
            <v>1025</v>
          </cell>
          <cell r="F6">
            <v>0</v>
          </cell>
          <cell r="H6">
            <v>1532</v>
          </cell>
          <cell r="I6">
            <v>6037.08</v>
          </cell>
          <cell r="K6">
            <v>237.5</v>
          </cell>
          <cell r="M6">
            <v>6615</v>
          </cell>
          <cell r="N6">
            <v>22613.44</v>
          </cell>
          <cell r="P6">
            <v>2749.9</v>
          </cell>
        </row>
        <row r="7">
          <cell r="C7">
            <v>0</v>
          </cell>
          <cell r="D7">
            <v>0</v>
          </cell>
          <cell r="F7">
            <v>0</v>
          </cell>
          <cell r="H7">
            <v>208</v>
          </cell>
          <cell r="I7">
            <v>713.4</v>
          </cell>
          <cell r="K7">
            <v>26</v>
          </cell>
          <cell r="M7">
            <v>656</v>
          </cell>
          <cell r="N7">
            <v>2868.62</v>
          </cell>
          <cell r="P7">
            <v>694</v>
          </cell>
        </row>
        <row r="8">
          <cell r="C8">
            <v>96</v>
          </cell>
          <cell r="D8">
            <v>5068.75</v>
          </cell>
          <cell r="F8">
            <v>0</v>
          </cell>
          <cell r="H8">
            <v>1222</v>
          </cell>
          <cell r="I8">
            <v>4359.5</v>
          </cell>
          <cell r="K8">
            <v>802</v>
          </cell>
          <cell r="M8">
            <v>5556</v>
          </cell>
          <cell r="N8">
            <v>19368.04</v>
          </cell>
          <cell r="P8">
            <v>4097</v>
          </cell>
        </row>
        <row r="9">
          <cell r="C9">
            <v>174</v>
          </cell>
          <cell r="D9">
            <v>6132.52</v>
          </cell>
          <cell r="F9">
            <v>0</v>
          </cell>
          <cell r="H9">
            <v>1940</v>
          </cell>
          <cell r="I9">
            <v>7375.02</v>
          </cell>
          <cell r="K9">
            <v>546</v>
          </cell>
          <cell r="M9">
            <v>8333</v>
          </cell>
          <cell r="N9">
            <v>29815.5</v>
          </cell>
          <cell r="P9">
            <v>2267.92</v>
          </cell>
        </row>
        <row r="10">
          <cell r="C10">
            <v>0</v>
          </cell>
          <cell r="D10">
            <v>0</v>
          </cell>
          <cell r="F10">
            <v>0</v>
          </cell>
          <cell r="H10">
            <v>782</v>
          </cell>
          <cell r="I10">
            <v>2654.65</v>
          </cell>
          <cell r="K10">
            <v>81.78</v>
          </cell>
          <cell r="M10">
            <v>4004</v>
          </cell>
          <cell r="N10">
            <v>10420.85</v>
          </cell>
          <cell r="P10">
            <v>1729.55</v>
          </cell>
        </row>
        <row r="11">
          <cell r="C11">
            <v>0</v>
          </cell>
          <cell r="D11">
            <v>0</v>
          </cell>
          <cell r="F11">
            <v>0</v>
          </cell>
          <cell r="H11">
            <v>14</v>
          </cell>
          <cell r="I11">
            <v>26</v>
          </cell>
          <cell r="K11">
            <v>21.64</v>
          </cell>
          <cell r="M11">
            <v>145</v>
          </cell>
          <cell r="N11">
            <v>261.8</v>
          </cell>
          <cell r="P11">
            <v>122.51</v>
          </cell>
        </row>
        <row r="12">
          <cell r="C12">
            <v>24</v>
          </cell>
          <cell r="D12">
            <v>1654.08</v>
          </cell>
          <cell r="F12">
            <v>0</v>
          </cell>
          <cell r="H12">
            <v>674</v>
          </cell>
          <cell r="I12">
            <v>2613.86</v>
          </cell>
          <cell r="K12">
            <v>403</v>
          </cell>
          <cell r="M12">
            <v>2730</v>
          </cell>
          <cell r="N12">
            <v>11616.45</v>
          </cell>
          <cell r="P12">
            <v>2892</v>
          </cell>
        </row>
        <row r="13">
          <cell r="C13">
            <v>145</v>
          </cell>
          <cell r="D13">
            <v>3255.65</v>
          </cell>
          <cell r="F13">
            <v>0</v>
          </cell>
          <cell r="H13">
            <v>2716</v>
          </cell>
          <cell r="I13">
            <v>9982.86</v>
          </cell>
          <cell r="K13">
            <v>131.59</v>
          </cell>
          <cell r="M13">
            <v>10374</v>
          </cell>
          <cell r="N13">
            <v>35192.75</v>
          </cell>
          <cell r="P13">
            <v>2175.96</v>
          </cell>
        </row>
        <row r="14">
          <cell r="C14">
            <v>18</v>
          </cell>
          <cell r="D14">
            <v>537.7</v>
          </cell>
          <cell r="F14">
            <v>0</v>
          </cell>
          <cell r="H14">
            <v>370</v>
          </cell>
          <cell r="I14">
            <v>1220.28</v>
          </cell>
          <cell r="K14">
            <v>1060</v>
          </cell>
          <cell r="M14">
            <v>1288</v>
          </cell>
          <cell r="N14">
            <v>4841.9</v>
          </cell>
          <cell r="P14">
            <v>9850</v>
          </cell>
        </row>
        <row r="15">
          <cell r="C15">
            <v>0</v>
          </cell>
          <cell r="D15">
            <v>0</v>
          </cell>
          <cell r="F15">
            <v>622</v>
          </cell>
          <cell r="H15">
            <v>408</v>
          </cell>
          <cell r="I15">
            <v>1470.88</v>
          </cell>
          <cell r="K15">
            <v>52</v>
          </cell>
          <cell r="M15">
            <v>1464</v>
          </cell>
          <cell r="N15">
            <v>5667.64</v>
          </cell>
          <cell r="P15">
            <v>885</v>
          </cell>
        </row>
        <row r="16">
          <cell r="C16">
            <v>0</v>
          </cell>
          <cell r="D16">
            <v>0</v>
          </cell>
          <cell r="F16">
            <v>0</v>
          </cell>
          <cell r="H16">
            <v>280</v>
          </cell>
          <cell r="I16">
            <v>910.55</v>
          </cell>
          <cell r="K16">
            <v>151.67</v>
          </cell>
          <cell r="M16">
            <v>924</v>
          </cell>
          <cell r="N16">
            <v>3651.61</v>
          </cell>
          <cell r="P16">
            <v>1806.85</v>
          </cell>
        </row>
        <row r="17">
          <cell r="C17">
            <v>0</v>
          </cell>
          <cell r="D17">
            <v>0</v>
          </cell>
          <cell r="F17">
            <v>0</v>
          </cell>
          <cell r="H17">
            <v>222</v>
          </cell>
          <cell r="I17">
            <v>841.32</v>
          </cell>
          <cell r="K17">
            <v>248.54</v>
          </cell>
          <cell r="M17">
            <v>588</v>
          </cell>
          <cell r="N17">
            <v>2589.24</v>
          </cell>
          <cell r="P17">
            <v>2724.6</v>
          </cell>
        </row>
        <row r="18">
          <cell r="C18">
            <v>0</v>
          </cell>
          <cell r="D18">
            <v>0</v>
          </cell>
          <cell r="F18">
            <v>0</v>
          </cell>
          <cell r="H18">
            <v>246</v>
          </cell>
          <cell r="I18">
            <v>863.7</v>
          </cell>
          <cell r="K18">
            <v>18.08</v>
          </cell>
          <cell r="M18">
            <v>976</v>
          </cell>
          <cell r="N18">
            <v>3918.78</v>
          </cell>
          <cell r="P18">
            <v>259.5</v>
          </cell>
        </row>
        <row r="19">
          <cell r="C19">
            <v>24</v>
          </cell>
          <cell r="D19">
            <v>112.14</v>
          </cell>
          <cell r="F19">
            <v>0</v>
          </cell>
          <cell r="H19">
            <v>1044</v>
          </cell>
          <cell r="I19">
            <v>3834.33</v>
          </cell>
          <cell r="K19">
            <v>104.65</v>
          </cell>
          <cell r="M19">
            <v>3579</v>
          </cell>
          <cell r="N19">
            <v>14738.38</v>
          </cell>
          <cell r="P19">
            <v>835.3</v>
          </cell>
        </row>
        <row r="20">
          <cell r="C20">
            <v>0</v>
          </cell>
          <cell r="D20">
            <v>0</v>
          </cell>
          <cell r="F20">
            <v>0</v>
          </cell>
          <cell r="H20">
            <v>416</v>
          </cell>
          <cell r="I20">
            <v>1502.3</v>
          </cell>
          <cell r="K20">
            <v>14.78</v>
          </cell>
          <cell r="M20">
            <v>1180</v>
          </cell>
          <cell r="N20">
            <v>4913.18</v>
          </cell>
          <cell r="P20">
            <v>415</v>
          </cell>
        </row>
        <row r="21">
          <cell r="C21">
            <v>111</v>
          </cell>
          <cell r="D21">
            <v>3088.84</v>
          </cell>
          <cell r="H21">
            <v>3332</v>
          </cell>
          <cell r="I21">
            <v>12392.94</v>
          </cell>
          <cell r="K21">
            <v>680</v>
          </cell>
          <cell r="M21">
            <v>12873</v>
          </cell>
          <cell r="N21">
            <v>53805.12</v>
          </cell>
          <cell r="P21">
            <v>9276</v>
          </cell>
        </row>
        <row r="22">
          <cell r="C22">
            <v>0</v>
          </cell>
          <cell r="D22">
            <v>0</v>
          </cell>
          <cell r="F22">
            <v>0</v>
          </cell>
          <cell r="H22">
            <v>485</v>
          </cell>
          <cell r="I22">
            <v>1722.98</v>
          </cell>
          <cell r="K22">
            <v>1955</v>
          </cell>
          <cell r="M22">
            <v>1228</v>
          </cell>
          <cell r="N22">
            <v>6280.26</v>
          </cell>
          <cell r="P22">
            <v>7187</v>
          </cell>
        </row>
        <row r="23">
          <cell r="C23">
            <v>101</v>
          </cell>
          <cell r="D23">
            <v>2599.65</v>
          </cell>
          <cell r="F23">
            <v>0</v>
          </cell>
          <cell r="H23">
            <v>1008</v>
          </cell>
          <cell r="I23">
            <v>3442.93</v>
          </cell>
          <cell r="K23">
            <v>91</v>
          </cell>
          <cell r="M23">
            <v>3792</v>
          </cell>
          <cell r="N23">
            <v>15487.14</v>
          </cell>
          <cell r="P23">
            <v>1166</v>
          </cell>
        </row>
        <row r="24">
          <cell r="C24">
            <v>122</v>
          </cell>
          <cell r="D24">
            <v>3093.84</v>
          </cell>
          <cell r="F24">
            <v>0</v>
          </cell>
          <cell r="H24">
            <v>1498</v>
          </cell>
          <cell r="I24">
            <v>5699.18</v>
          </cell>
          <cell r="K24">
            <v>331.41</v>
          </cell>
          <cell r="M24">
            <v>8740</v>
          </cell>
          <cell r="N24">
            <v>24155.22</v>
          </cell>
          <cell r="P24">
            <v>3511.34</v>
          </cell>
        </row>
        <row r="25">
          <cell r="C25">
            <v>0</v>
          </cell>
          <cell r="D25">
            <v>0</v>
          </cell>
          <cell r="F25">
            <v>0</v>
          </cell>
          <cell r="H25">
            <v>121</v>
          </cell>
          <cell r="I25">
            <v>423.72</v>
          </cell>
          <cell r="K25">
            <v>1</v>
          </cell>
          <cell r="M25">
            <v>304</v>
          </cell>
          <cell r="N25">
            <v>1688.46</v>
          </cell>
          <cell r="P25">
            <v>91</v>
          </cell>
        </row>
        <row r="26">
          <cell r="C26">
            <v>0</v>
          </cell>
          <cell r="D26">
            <v>0</v>
          </cell>
          <cell r="F26">
            <v>0</v>
          </cell>
          <cell r="H26">
            <v>199</v>
          </cell>
          <cell r="I26">
            <v>744.65</v>
          </cell>
          <cell r="K26">
            <v>8.49</v>
          </cell>
          <cell r="M26">
            <v>744</v>
          </cell>
          <cell r="N26">
            <v>2911.68</v>
          </cell>
          <cell r="P26">
            <v>700.45</v>
          </cell>
        </row>
        <row r="28">
          <cell r="C28">
            <v>0</v>
          </cell>
          <cell r="D28">
            <v>0</v>
          </cell>
          <cell r="F28">
            <v>0</v>
          </cell>
          <cell r="H28">
            <v>92</v>
          </cell>
          <cell r="I28">
            <v>288.92</v>
          </cell>
          <cell r="K28">
            <v>0</v>
          </cell>
          <cell r="M28">
            <v>326</v>
          </cell>
          <cell r="N28">
            <v>1487.1</v>
          </cell>
          <cell r="P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H29">
            <v>47</v>
          </cell>
          <cell r="I29">
            <v>159.85</v>
          </cell>
          <cell r="K29">
            <v>0</v>
          </cell>
          <cell r="M29">
            <v>176</v>
          </cell>
          <cell r="N29">
            <v>816.81</v>
          </cell>
          <cell r="P29">
            <v>15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80</v>
          </cell>
          <cell r="I30">
            <v>274.68</v>
          </cell>
          <cell r="K30">
            <v>0</v>
          </cell>
          <cell r="M30">
            <v>438</v>
          </cell>
          <cell r="N30">
            <v>1921.12</v>
          </cell>
          <cell r="P30">
            <v>60.65</v>
          </cell>
        </row>
        <row r="31">
          <cell r="C31">
            <v>0</v>
          </cell>
          <cell r="D31">
            <v>0</v>
          </cell>
          <cell r="F31">
            <v>0</v>
          </cell>
          <cell r="H31">
            <v>74</v>
          </cell>
          <cell r="I31">
            <v>272.68</v>
          </cell>
          <cell r="K31">
            <v>0</v>
          </cell>
          <cell r="M31">
            <v>266</v>
          </cell>
          <cell r="N31">
            <v>1212.54</v>
          </cell>
          <cell r="P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152</v>
          </cell>
          <cell r="I32">
            <v>506.4</v>
          </cell>
          <cell r="K32">
            <v>0</v>
          </cell>
          <cell r="M32">
            <v>600</v>
          </cell>
          <cell r="N32">
            <v>2359.38</v>
          </cell>
          <cell r="P32">
            <v>0</v>
          </cell>
        </row>
        <row r="33">
          <cell r="C33">
            <v>232</v>
          </cell>
          <cell r="D33">
            <v>8774.51</v>
          </cell>
          <cell r="F33">
            <v>0</v>
          </cell>
          <cell r="H33">
            <v>12792</v>
          </cell>
          <cell r="I33">
            <v>45434.55</v>
          </cell>
          <cell r="K33">
            <v>1590</v>
          </cell>
          <cell r="M33">
            <v>48668</v>
          </cell>
          <cell r="N33">
            <v>194980.68</v>
          </cell>
          <cell r="P33">
            <v>22299</v>
          </cell>
        </row>
        <row r="35">
          <cell r="C35">
            <v>85</v>
          </cell>
          <cell r="D35">
            <v>1149.32</v>
          </cell>
          <cell r="F35">
            <v>0</v>
          </cell>
          <cell r="H35">
            <v>538</v>
          </cell>
          <cell r="I35">
            <v>1893.02</v>
          </cell>
          <cell r="K35">
            <v>180.47</v>
          </cell>
          <cell r="M35">
            <v>2191</v>
          </cell>
          <cell r="N35">
            <v>9982.64</v>
          </cell>
          <cell r="P35">
            <v>3785.7</v>
          </cell>
        </row>
        <row r="36">
          <cell r="C36">
            <v>0</v>
          </cell>
          <cell r="D36">
            <v>0</v>
          </cell>
          <cell r="F36">
            <v>0</v>
          </cell>
          <cell r="H36">
            <v>4</v>
          </cell>
          <cell r="I36">
            <v>8</v>
          </cell>
          <cell r="K36">
            <v>0.22</v>
          </cell>
          <cell r="M36">
            <v>16</v>
          </cell>
          <cell r="N36">
            <v>75.06</v>
          </cell>
          <cell r="P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H37">
            <v>8</v>
          </cell>
          <cell r="I37">
            <v>40</v>
          </cell>
          <cell r="K37">
            <v>0</v>
          </cell>
          <cell r="M37">
            <v>10</v>
          </cell>
          <cell r="N37">
            <v>39.88</v>
          </cell>
          <cell r="P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H38">
            <v>36</v>
          </cell>
          <cell r="I38">
            <v>135</v>
          </cell>
          <cell r="K38">
            <v>0</v>
          </cell>
          <cell r="M38">
            <v>128</v>
          </cell>
          <cell r="N38">
            <v>568.32</v>
          </cell>
          <cell r="P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H39">
            <v>74</v>
          </cell>
          <cell r="I39">
            <v>254.65</v>
          </cell>
          <cell r="K39">
            <v>2.62</v>
          </cell>
          <cell r="M39">
            <v>268</v>
          </cell>
          <cell r="N39">
            <v>1213.86</v>
          </cell>
          <cell r="P39">
            <v>37.74</v>
          </cell>
        </row>
        <row r="40">
          <cell r="C40">
            <v>87</v>
          </cell>
          <cell r="D40">
            <v>3019.32</v>
          </cell>
          <cell r="F40">
            <v>0</v>
          </cell>
          <cell r="H40">
            <v>1028</v>
          </cell>
          <cell r="I40">
            <v>3675.14</v>
          </cell>
          <cell r="K40">
            <v>113.74</v>
          </cell>
          <cell r="M40">
            <v>4210</v>
          </cell>
          <cell r="N40">
            <v>18173.48</v>
          </cell>
          <cell r="P40">
            <v>1589.26</v>
          </cell>
        </row>
        <row r="41">
          <cell r="C41">
            <v>44</v>
          </cell>
          <cell r="D41">
            <v>2956.4</v>
          </cell>
          <cell r="F41">
            <v>0</v>
          </cell>
          <cell r="H41">
            <v>1050</v>
          </cell>
          <cell r="I41">
            <v>3652.32</v>
          </cell>
          <cell r="K41">
            <v>0</v>
          </cell>
          <cell r="M41">
            <v>4348</v>
          </cell>
          <cell r="N41">
            <v>20225.74</v>
          </cell>
          <cell r="P41">
            <v>314.63751</v>
          </cell>
        </row>
        <row r="42">
          <cell r="C42">
            <v>0</v>
          </cell>
          <cell r="D42">
            <v>0</v>
          </cell>
          <cell r="F42">
            <v>0</v>
          </cell>
          <cell r="H42">
            <v>178</v>
          </cell>
          <cell r="I42">
            <v>649.85</v>
          </cell>
          <cell r="K42">
            <v>0</v>
          </cell>
          <cell r="M42">
            <v>559</v>
          </cell>
          <cell r="N42">
            <v>2474.91</v>
          </cell>
          <cell r="P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H43">
            <v>4</v>
          </cell>
          <cell r="I43">
            <v>10</v>
          </cell>
          <cell r="K43">
            <v>0</v>
          </cell>
          <cell r="M43">
            <v>28</v>
          </cell>
          <cell r="N43">
            <v>61.74</v>
          </cell>
          <cell r="P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H44">
            <v>62</v>
          </cell>
          <cell r="I44">
            <v>223.64</v>
          </cell>
          <cell r="K44">
            <v>0</v>
          </cell>
          <cell r="M44">
            <v>244</v>
          </cell>
          <cell r="N44">
            <v>1128.44</v>
          </cell>
          <cell r="P44">
            <v>248</v>
          </cell>
        </row>
        <row r="45">
          <cell r="C45">
            <v>0</v>
          </cell>
          <cell r="D45">
            <v>0</v>
          </cell>
          <cell r="F45">
            <v>0</v>
          </cell>
          <cell r="H45">
            <v>64</v>
          </cell>
          <cell r="I45">
            <v>237.9</v>
          </cell>
          <cell r="K45">
            <v>2</v>
          </cell>
          <cell r="M45">
            <v>266</v>
          </cell>
          <cell r="N45">
            <v>1101.48</v>
          </cell>
          <cell r="P45">
            <v>81</v>
          </cell>
        </row>
        <row r="46">
          <cell r="C46">
            <v>0</v>
          </cell>
          <cell r="D46">
            <v>0</v>
          </cell>
          <cell r="F46">
            <v>0</v>
          </cell>
          <cell r="H46">
            <v>12</v>
          </cell>
          <cell r="I46">
            <v>32.58</v>
          </cell>
          <cell r="K46">
            <v>0</v>
          </cell>
          <cell r="M46">
            <v>66</v>
          </cell>
          <cell r="N46">
            <v>322.78</v>
          </cell>
          <cell r="P46">
            <v>1.92</v>
          </cell>
        </row>
        <row r="47">
          <cell r="C47">
            <v>0</v>
          </cell>
          <cell r="D47">
            <v>0</v>
          </cell>
          <cell r="F47">
            <v>0</v>
          </cell>
          <cell r="H47">
            <v>86</v>
          </cell>
          <cell r="I47">
            <v>310.84</v>
          </cell>
          <cell r="K47">
            <v>0</v>
          </cell>
          <cell r="M47">
            <v>308</v>
          </cell>
          <cell r="N47">
            <v>1476.34</v>
          </cell>
          <cell r="P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H48">
            <v>4</v>
          </cell>
          <cell r="I48">
            <v>10.86</v>
          </cell>
          <cell r="K48">
            <v>0</v>
          </cell>
          <cell r="M48">
            <v>22</v>
          </cell>
          <cell r="N48">
            <v>107.65</v>
          </cell>
          <cell r="P48">
            <v>29</v>
          </cell>
        </row>
        <row r="49">
          <cell r="C49">
            <v>0</v>
          </cell>
          <cell r="D49">
            <v>0</v>
          </cell>
          <cell r="F49">
            <v>0</v>
          </cell>
          <cell r="H49">
            <v>44</v>
          </cell>
          <cell r="I49">
            <v>149.06</v>
          </cell>
          <cell r="K49">
            <v>0</v>
          </cell>
          <cell r="M49">
            <v>154</v>
          </cell>
          <cell r="N49">
            <v>706.24</v>
          </cell>
          <cell r="P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H50">
            <v>14</v>
          </cell>
          <cell r="I50">
            <v>68.88</v>
          </cell>
          <cell r="K50">
            <v>31.46</v>
          </cell>
          <cell r="M50">
            <v>20</v>
          </cell>
          <cell r="N50">
            <v>81.12</v>
          </cell>
          <cell r="P50">
            <v>29.76</v>
          </cell>
        </row>
        <row r="51">
          <cell r="C51">
            <v>0</v>
          </cell>
          <cell r="D51">
            <v>0</v>
          </cell>
          <cell r="H51">
            <v>98</v>
          </cell>
          <cell r="I51">
            <v>390.98</v>
          </cell>
          <cell r="M51">
            <v>328</v>
          </cell>
          <cell r="N51">
            <v>1391.74</v>
          </cell>
        </row>
        <row r="53">
          <cell r="C53">
            <v>0</v>
          </cell>
          <cell r="D53">
            <v>0</v>
          </cell>
          <cell r="F53">
            <v>0</v>
          </cell>
          <cell r="H53">
            <v>941</v>
          </cell>
          <cell r="I53">
            <v>3306</v>
          </cell>
          <cell r="K53">
            <v>80</v>
          </cell>
          <cell r="M53">
            <v>5892</v>
          </cell>
          <cell r="N53">
            <v>11673</v>
          </cell>
          <cell r="P53">
            <v>4438</v>
          </cell>
        </row>
        <row r="54">
          <cell r="C54">
            <v>0</v>
          </cell>
          <cell r="D54">
            <v>0</v>
          </cell>
          <cell r="F54">
            <v>0</v>
          </cell>
          <cell r="H54">
            <v>904</v>
          </cell>
          <cell r="I54">
            <v>3171</v>
          </cell>
          <cell r="K54">
            <v>25</v>
          </cell>
          <cell r="M54">
            <v>5644</v>
          </cell>
          <cell r="N54">
            <v>10419</v>
          </cell>
          <cell r="P54">
            <v>10623</v>
          </cell>
        </row>
        <row r="55">
          <cell r="C55">
            <v>0</v>
          </cell>
          <cell r="D55">
            <v>0</v>
          </cell>
          <cell r="F55">
            <v>0</v>
          </cell>
          <cell r="H55">
            <v>523.2586917293088</v>
          </cell>
          <cell r="I55">
            <v>2237.2</v>
          </cell>
          <cell r="K55">
            <v>46.09</v>
          </cell>
          <cell r="M55">
            <v>2762</v>
          </cell>
          <cell r="N55">
            <v>8851</v>
          </cell>
          <cell r="P55">
            <v>1012.04</v>
          </cell>
        </row>
        <row r="57">
          <cell r="C57">
            <v>0</v>
          </cell>
          <cell r="D57">
            <v>0</v>
          </cell>
          <cell r="H57">
            <v>1311</v>
          </cell>
          <cell r="I57">
            <v>7259.24</v>
          </cell>
          <cell r="M57">
            <v>8490</v>
          </cell>
          <cell r="N57">
            <v>25151.74</v>
          </cell>
        </row>
        <row r="58">
          <cell r="C58">
            <v>0</v>
          </cell>
          <cell r="D58">
            <v>0</v>
          </cell>
          <cell r="H58">
            <v>1311</v>
          </cell>
          <cell r="I58">
            <v>7259.24</v>
          </cell>
          <cell r="M58">
            <v>8490</v>
          </cell>
          <cell r="N58">
            <v>25151.74</v>
          </cell>
        </row>
      </sheetData>
    </sheetDataSet>
  </externalBook>
</externalLink>
</file>

<file path=xl/tables/table1.xml><?xml version="1.0" encoding="utf-8"?>
<table xmlns="http://schemas.openxmlformats.org/spreadsheetml/2006/main" id="1" name="CustomerList" displayName="CustomerList" ref="A3:G63" totalsRowShown="0">
  <autoFilter ref="A3:G63"/>
  <tableColumns count="7">
    <tableColumn id="1" name="SR"/>
    <tableColumn id="2" name="BANKS"/>
    <tableColumn id="3" name="RURAL"/>
    <tableColumn id="4" name="SEMI URBAN"/>
    <tableColumn id="5" name="URBAN"/>
    <tableColumn id="6" name="TOTAL"/>
    <tableColumn id="8" name="ATMS"/>
  </tableColumns>
  <tableStyleInfo name="Sales Invoice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M63"/>
  <sheetViews>
    <sheetView showGridLines="0" tabSelected="1" view="pageBreakPreview" zoomScale="60" zoomScalePageLayoutView="0" workbookViewId="0" topLeftCell="A1">
      <pane xSplit="1" ySplit="3" topLeftCell="B4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0" sqref="F50"/>
    </sheetView>
  </sheetViews>
  <sheetFormatPr defaultColWidth="9.140625" defaultRowHeight="18.75" customHeight="1"/>
  <cols>
    <col min="1" max="1" width="5.7109375" style="73" customWidth="1"/>
    <col min="2" max="2" width="23.8515625" style="73" customWidth="1"/>
    <col min="3" max="3" width="12.421875" style="78" bestFit="1" customWidth="1"/>
    <col min="4" max="4" width="16.8515625" style="78" customWidth="1"/>
    <col min="5" max="5" width="12.28125" style="78" bestFit="1" customWidth="1"/>
    <col min="6" max="6" width="12.140625" style="78" bestFit="1" customWidth="1"/>
    <col min="7" max="7" width="11.00390625" style="78" bestFit="1" customWidth="1"/>
    <col min="8" max="16384" width="9.140625" style="73" customWidth="1"/>
  </cols>
  <sheetData>
    <row r="1" spans="1:7" ht="18.75" customHeight="1">
      <c r="A1" s="543" t="s">
        <v>122</v>
      </c>
      <c r="B1" s="543"/>
      <c r="C1" s="543"/>
      <c r="D1" s="543"/>
      <c r="E1" s="543"/>
      <c r="F1" s="543"/>
      <c r="G1" s="543"/>
    </row>
    <row r="2" spans="1:13" s="75" customFormat="1" ht="15" customHeight="1">
      <c r="A2" s="544" t="s">
        <v>100</v>
      </c>
      <c r="B2" s="544"/>
      <c r="C2" s="544"/>
      <c r="D2" s="544"/>
      <c r="E2" s="544"/>
      <c r="F2" s="544"/>
      <c r="G2" s="544"/>
      <c r="H2" s="74"/>
      <c r="I2" s="74"/>
      <c r="J2" s="74"/>
      <c r="K2" s="74"/>
      <c r="L2" s="74"/>
      <c r="M2" s="74"/>
    </row>
    <row r="3" spans="1:7" s="77" customFormat="1" ht="15" customHeight="1">
      <c r="A3" s="76" t="s">
        <v>272</v>
      </c>
      <c r="B3" s="76" t="s">
        <v>3</v>
      </c>
      <c r="C3" s="76" t="s">
        <v>4</v>
      </c>
      <c r="D3" s="76" t="s">
        <v>5</v>
      </c>
      <c r="E3" s="76" t="s">
        <v>6</v>
      </c>
      <c r="F3" s="76" t="s">
        <v>0</v>
      </c>
      <c r="G3" s="76" t="s">
        <v>7</v>
      </c>
    </row>
    <row r="4" spans="1:7" ht="15" customHeight="1">
      <c r="A4" s="79">
        <v>1</v>
      </c>
      <c r="B4" s="80" t="s">
        <v>57</v>
      </c>
      <c r="C4" s="80">
        <v>84</v>
      </c>
      <c r="D4" s="80">
        <v>44</v>
      </c>
      <c r="E4" s="80">
        <v>73</v>
      </c>
      <c r="F4" s="80">
        <f>C4+D4+E4</f>
        <v>201</v>
      </c>
      <c r="G4" s="80">
        <v>90</v>
      </c>
    </row>
    <row r="5" spans="1:7" ht="15" customHeight="1">
      <c r="A5" s="79">
        <v>2</v>
      </c>
      <c r="B5" s="80" t="s">
        <v>58</v>
      </c>
      <c r="C5" s="80">
        <v>0</v>
      </c>
      <c r="D5" s="80">
        <v>9</v>
      </c>
      <c r="E5" s="80">
        <v>30</v>
      </c>
      <c r="F5" s="80">
        <f aca="true" t="shared" si="0" ref="F5:F30">C5+D5+E5</f>
        <v>39</v>
      </c>
      <c r="G5" s="80">
        <v>39</v>
      </c>
    </row>
    <row r="6" spans="1:7" ht="15" customHeight="1">
      <c r="A6" s="79">
        <v>3</v>
      </c>
      <c r="B6" s="80" t="s">
        <v>59</v>
      </c>
      <c r="C6" s="80">
        <v>30</v>
      </c>
      <c r="D6" s="80">
        <v>80</v>
      </c>
      <c r="E6" s="80">
        <v>76</v>
      </c>
      <c r="F6" s="80">
        <f t="shared" si="0"/>
        <v>186</v>
      </c>
      <c r="G6" s="80">
        <v>314</v>
      </c>
    </row>
    <row r="7" spans="1:7" ht="15" customHeight="1">
      <c r="A7" s="79">
        <v>4</v>
      </c>
      <c r="B7" s="80" t="s">
        <v>60</v>
      </c>
      <c r="C7" s="80">
        <v>186</v>
      </c>
      <c r="D7" s="80">
        <v>141</v>
      </c>
      <c r="E7" s="80">
        <v>110</v>
      </c>
      <c r="F7" s="80">
        <f t="shared" si="0"/>
        <v>437</v>
      </c>
      <c r="G7" s="80">
        <v>685</v>
      </c>
    </row>
    <row r="8" spans="1:12" ht="15" customHeight="1">
      <c r="A8" s="79">
        <v>5</v>
      </c>
      <c r="B8" s="80" t="s">
        <v>61</v>
      </c>
      <c r="C8" s="80">
        <v>86</v>
      </c>
      <c r="D8" s="80">
        <v>22</v>
      </c>
      <c r="E8" s="80">
        <v>37</v>
      </c>
      <c r="F8" s="80">
        <f t="shared" si="0"/>
        <v>145</v>
      </c>
      <c r="G8" s="80">
        <v>149</v>
      </c>
      <c r="L8" s="73" t="s">
        <v>333</v>
      </c>
    </row>
    <row r="9" spans="1:7" ht="15" customHeight="1">
      <c r="A9" s="79">
        <v>6</v>
      </c>
      <c r="B9" s="80" t="s">
        <v>70</v>
      </c>
      <c r="C9" s="80">
        <v>0</v>
      </c>
      <c r="D9" s="80">
        <v>0</v>
      </c>
      <c r="E9" s="80">
        <v>5</v>
      </c>
      <c r="F9" s="80">
        <f t="shared" si="0"/>
        <v>5</v>
      </c>
      <c r="G9" s="80">
        <v>5</v>
      </c>
    </row>
    <row r="10" spans="1:7" ht="15" customHeight="1">
      <c r="A10" s="79">
        <v>7</v>
      </c>
      <c r="B10" s="80" t="s">
        <v>62</v>
      </c>
      <c r="C10" s="80">
        <v>31</v>
      </c>
      <c r="D10" s="80">
        <v>95</v>
      </c>
      <c r="E10" s="80">
        <v>82</v>
      </c>
      <c r="F10" s="80">
        <f t="shared" si="0"/>
        <v>208</v>
      </c>
      <c r="G10" s="80">
        <v>271</v>
      </c>
    </row>
    <row r="11" spans="1:7" ht="15" customHeight="1">
      <c r="A11" s="79">
        <v>8</v>
      </c>
      <c r="B11" s="80" t="s">
        <v>63</v>
      </c>
      <c r="C11" s="80">
        <v>235</v>
      </c>
      <c r="D11" s="80">
        <v>140</v>
      </c>
      <c r="E11" s="80">
        <v>94</v>
      </c>
      <c r="F11" s="80">
        <f t="shared" si="0"/>
        <v>469</v>
      </c>
      <c r="G11" s="80">
        <v>582</v>
      </c>
    </row>
    <row r="12" spans="1:7" ht="15" customHeight="1">
      <c r="A12" s="79">
        <v>9</v>
      </c>
      <c r="B12" s="80" t="s">
        <v>50</v>
      </c>
      <c r="C12" s="80">
        <v>8</v>
      </c>
      <c r="D12" s="80">
        <v>12</v>
      </c>
      <c r="E12" s="80">
        <v>42</v>
      </c>
      <c r="F12" s="80">
        <f t="shared" si="0"/>
        <v>62</v>
      </c>
      <c r="G12" s="80">
        <v>89</v>
      </c>
    </row>
    <row r="13" spans="1:7" ht="15" customHeight="1">
      <c r="A13" s="79">
        <v>10</v>
      </c>
      <c r="B13" s="80" t="s">
        <v>51</v>
      </c>
      <c r="C13" s="80">
        <v>9</v>
      </c>
      <c r="D13" s="80">
        <v>20</v>
      </c>
      <c r="E13" s="80">
        <v>39</v>
      </c>
      <c r="F13" s="80">
        <f t="shared" si="0"/>
        <v>68</v>
      </c>
      <c r="G13" s="80">
        <v>56</v>
      </c>
    </row>
    <row r="14" spans="1:7" ht="15" customHeight="1">
      <c r="A14" s="79">
        <v>11</v>
      </c>
      <c r="B14" s="80" t="s">
        <v>83</v>
      </c>
      <c r="C14" s="80">
        <v>23</v>
      </c>
      <c r="D14" s="80">
        <v>36</v>
      </c>
      <c r="E14" s="80">
        <v>39</v>
      </c>
      <c r="F14" s="80">
        <f t="shared" si="0"/>
        <v>98</v>
      </c>
      <c r="G14" s="80">
        <v>170</v>
      </c>
    </row>
    <row r="15" spans="1:7" ht="15" customHeight="1">
      <c r="A15" s="79">
        <v>12</v>
      </c>
      <c r="B15" s="80" t="s">
        <v>64</v>
      </c>
      <c r="C15" s="80">
        <v>0</v>
      </c>
      <c r="D15" s="80">
        <v>6</v>
      </c>
      <c r="E15" s="80">
        <v>22</v>
      </c>
      <c r="F15" s="80">
        <f t="shared" si="0"/>
        <v>28</v>
      </c>
      <c r="G15" s="80">
        <v>29</v>
      </c>
    </row>
    <row r="16" spans="1:7" ht="15" customHeight="1">
      <c r="A16" s="79">
        <v>13</v>
      </c>
      <c r="B16" s="80" t="s">
        <v>65</v>
      </c>
      <c r="C16" s="80">
        <v>12</v>
      </c>
      <c r="D16" s="80">
        <v>9</v>
      </c>
      <c r="E16" s="80">
        <v>40</v>
      </c>
      <c r="F16" s="80">
        <f t="shared" si="0"/>
        <v>61</v>
      </c>
      <c r="G16" s="80">
        <v>61</v>
      </c>
    </row>
    <row r="17" spans="1:7" ht="15" customHeight="1">
      <c r="A17" s="79">
        <v>14</v>
      </c>
      <c r="B17" s="80" t="s">
        <v>247</v>
      </c>
      <c r="C17" s="80">
        <v>13</v>
      </c>
      <c r="D17" s="80">
        <v>14</v>
      </c>
      <c r="E17" s="80">
        <v>49</v>
      </c>
      <c r="F17" s="80">
        <f t="shared" si="0"/>
        <v>76</v>
      </c>
      <c r="G17" s="80">
        <v>79</v>
      </c>
    </row>
    <row r="18" spans="1:7" ht="15" customHeight="1">
      <c r="A18" s="79">
        <v>15</v>
      </c>
      <c r="B18" s="80" t="s">
        <v>248</v>
      </c>
      <c r="C18" s="80">
        <v>9</v>
      </c>
      <c r="D18" s="80">
        <v>15</v>
      </c>
      <c r="E18" s="80">
        <v>15</v>
      </c>
      <c r="F18" s="80">
        <f t="shared" si="0"/>
        <v>39</v>
      </c>
      <c r="G18" s="80">
        <v>34</v>
      </c>
    </row>
    <row r="19" spans="1:7" ht="15" customHeight="1">
      <c r="A19" s="79">
        <v>16</v>
      </c>
      <c r="B19" s="80" t="s">
        <v>66</v>
      </c>
      <c r="C19" s="80">
        <v>85</v>
      </c>
      <c r="D19" s="80">
        <v>91</v>
      </c>
      <c r="E19" s="80">
        <v>112</v>
      </c>
      <c r="F19" s="80">
        <f t="shared" si="0"/>
        <v>288</v>
      </c>
      <c r="G19" s="80">
        <v>501</v>
      </c>
    </row>
    <row r="20" spans="1:7" ht="15" customHeight="1">
      <c r="A20" s="79">
        <v>17</v>
      </c>
      <c r="B20" s="80" t="s">
        <v>71</v>
      </c>
      <c r="C20" s="80">
        <v>0</v>
      </c>
      <c r="D20" s="80">
        <v>0</v>
      </c>
      <c r="E20" s="80">
        <v>5</v>
      </c>
      <c r="F20" s="80">
        <f t="shared" si="0"/>
        <v>5</v>
      </c>
      <c r="G20" s="80">
        <v>5</v>
      </c>
    </row>
    <row r="21" spans="1:7" ht="15" customHeight="1">
      <c r="A21" s="79">
        <v>18</v>
      </c>
      <c r="B21" s="80" t="s">
        <v>249</v>
      </c>
      <c r="C21" s="80">
        <v>0</v>
      </c>
      <c r="D21" s="80">
        <v>0</v>
      </c>
      <c r="E21" s="80">
        <v>3</v>
      </c>
      <c r="F21" s="80">
        <f t="shared" si="0"/>
        <v>3</v>
      </c>
      <c r="G21" s="80">
        <v>3</v>
      </c>
    </row>
    <row r="22" spans="1:7" ht="15" customHeight="1">
      <c r="A22" s="79">
        <v>19</v>
      </c>
      <c r="B22" s="80" t="s">
        <v>250</v>
      </c>
      <c r="C22" s="80">
        <v>0</v>
      </c>
      <c r="D22" s="80">
        <v>0</v>
      </c>
      <c r="E22" s="80">
        <v>7</v>
      </c>
      <c r="F22" s="80">
        <f t="shared" si="0"/>
        <v>7</v>
      </c>
      <c r="G22" s="80">
        <v>1</v>
      </c>
    </row>
    <row r="23" spans="1:7" ht="15" customHeight="1">
      <c r="A23" s="79">
        <v>20</v>
      </c>
      <c r="B23" s="80" t="s">
        <v>251</v>
      </c>
      <c r="C23" s="80">
        <v>0</v>
      </c>
      <c r="D23" s="80">
        <v>0</v>
      </c>
      <c r="E23" s="80">
        <v>3</v>
      </c>
      <c r="F23" s="80">
        <f t="shared" si="0"/>
        <v>3</v>
      </c>
      <c r="G23" s="80">
        <v>3</v>
      </c>
    </row>
    <row r="24" spans="1:7" ht="15" customHeight="1">
      <c r="A24" s="79">
        <v>21</v>
      </c>
      <c r="B24" s="80" t="s">
        <v>252</v>
      </c>
      <c r="C24" s="80">
        <v>0</v>
      </c>
      <c r="D24" s="80">
        <v>0</v>
      </c>
      <c r="E24" s="80">
        <v>9</v>
      </c>
      <c r="F24" s="80">
        <f t="shared" si="0"/>
        <v>9</v>
      </c>
      <c r="G24" s="80">
        <v>9</v>
      </c>
    </row>
    <row r="25" spans="1:7" ht="15" customHeight="1">
      <c r="A25" s="79">
        <v>22</v>
      </c>
      <c r="B25" s="80" t="s">
        <v>72</v>
      </c>
      <c r="C25" s="80">
        <v>364</v>
      </c>
      <c r="D25" s="80">
        <v>381</v>
      </c>
      <c r="E25" s="80">
        <v>359</v>
      </c>
      <c r="F25" s="80">
        <f t="shared" si="0"/>
        <v>1104</v>
      </c>
      <c r="G25" s="80">
        <v>4965</v>
      </c>
    </row>
    <row r="26" spans="1:7" ht="15" customHeight="1">
      <c r="A26" s="79">
        <v>23</v>
      </c>
      <c r="B26" s="80" t="s">
        <v>67</v>
      </c>
      <c r="C26" s="80">
        <v>20</v>
      </c>
      <c r="D26" s="80">
        <v>27</v>
      </c>
      <c r="E26" s="80">
        <v>55</v>
      </c>
      <c r="F26" s="80">
        <f t="shared" si="0"/>
        <v>102</v>
      </c>
      <c r="G26" s="80">
        <v>102</v>
      </c>
    </row>
    <row r="27" spans="1:7" ht="15" customHeight="1">
      <c r="A27" s="79">
        <v>24</v>
      </c>
      <c r="B27" s="80" t="s">
        <v>253</v>
      </c>
      <c r="C27" s="80">
        <v>54</v>
      </c>
      <c r="D27" s="80">
        <v>44</v>
      </c>
      <c r="E27" s="80">
        <v>71</v>
      </c>
      <c r="F27" s="80">
        <f t="shared" si="0"/>
        <v>169</v>
      </c>
      <c r="G27" s="80">
        <v>170</v>
      </c>
    </row>
    <row r="28" spans="1:7" ht="15" customHeight="1">
      <c r="A28" s="79">
        <v>25</v>
      </c>
      <c r="B28" s="80" t="s">
        <v>68</v>
      </c>
      <c r="C28" s="80">
        <v>105</v>
      </c>
      <c r="D28" s="80">
        <v>85</v>
      </c>
      <c r="E28" s="80">
        <v>88</v>
      </c>
      <c r="F28" s="80">
        <f t="shared" si="0"/>
        <v>278</v>
      </c>
      <c r="G28" s="80">
        <v>584</v>
      </c>
    </row>
    <row r="29" spans="1:7" ht="15" customHeight="1">
      <c r="A29" s="79">
        <v>26</v>
      </c>
      <c r="B29" s="80" t="s">
        <v>69</v>
      </c>
      <c r="C29" s="80">
        <v>0</v>
      </c>
      <c r="D29" s="80">
        <v>0</v>
      </c>
      <c r="E29" s="80">
        <v>13</v>
      </c>
      <c r="F29" s="80">
        <f t="shared" si="0"/>
        <v>13</v>
      </c>
      <c r="G29" s="80">
        <v>24</v>
      </c>
    </row>
    <row r="30" spans="1:7" ht="15" customHeight="1">
      <c r="A30" s="79">
        <v>27</v>
      </c>
      <c r="B30" s="80" t="s">
        <v>52</v>
      </c>
      <c r="C30" s="80">
        <v>6</v>
      </c>
      <c r="D30" s="80">
        <v>17</v>
      </c>
      <c r="E30" s="80">
        <v>33</v>
      </c>
      <c r="F30" s="80">
        <f t="shared" si="0"/>
        <v>56</v>
      </c>
      <c r="G30" s="80">
        <v>59</v>
      </c>
    </row>
    <row r="31" spans="1:7" ht="15" customHeight="1">
      <c r="A31" s="81"/>
      <c r="B31" s="82" t="s">
        <v>254</v>
      </c>
      <c r="C31" s="82">
        <f>SUM(C4:C30)</f>
        <v>1360</v>
      </c>
      <c r="D31" s="82">
        <f>SUM(D4:D30)</f>
        <v>1288</v>
      </c>
      <c r="E31" s="82">
        <f>SUM(E4:E30)</f>
        <v>1511</v>
      </c>
      <c r="F31" s="82">
        <f>SUM(F4:F30)</f>
        <v>4159</v>
      </c>
      <c r="G31" s="82">
        <f>SUM(G4:G30)</f>
        <v>9079</v>
      </c>
    </row>
    <row r="32" spans="1:7" ht="15" customHeight="1">
      <c r="A32" s="79">
        <v>28</v>
      </c>
      <c r="B32" s="80" t="s">
        <v>49</v>
      </c>
      <c r="C32" s="80">
        <v>19</v>
      </c>
      <c r="D32" s="80">
        <v>39</v>
      </c>
      <c r="E32" s="80">
        <v>66</v>
      </c>
      <c r="F32" s="80">
        <f>C32+D32+E32</f>
        <v>124</v>
      </c>
      <c r="G32" s="80">
        <v>370</v>
      </c>
    </row>
    <row r="33" spans="1:7" ht="15" customHeight="1">
      <c r="A33" s="79">
        <v>29</v>
      </c>
      <c r="B33" s="80" t="s">
        <v>255</v>
      </c>
      <c r="C33" s="80">
        <v>5</v>
      </c>
      <c r="D33" s="80">
        <v>7</v>
      </c>
      <c r="E33" s="80">
        <v>11</v>
      </c>
      <c r="F33" s="80">
        <f aca="true" t="shared" si="1" ref="F33:F53">C33+D33+E33</f>
        <v>23</v>
      </c>
      <c r="G33" s="80">
        <v>12</v>
      </c>
    </row>
    <row r="34" spans="1:7" ht="15" customHeight="1">
      <c r="A34" s="79">
        <v>30</v>
      </c>
      <c r="B34" s="80" t="s">
        <v>256</v>
      </c>
      <c r="C34" s="80">
        <v>0</v>
      </c>
      <c r="D34" s="80">
        <v>0</v>
      </c>
      <c r="E34" s="80">
        <v>1</v>
      </c>
      <c r="F34" s="80">
        <f t="shared" si="1"/>
        <v>1</v>
      </c>
      <c r="G34" s="80">
        <v>1</v>
      </c>
    </row>
    <row r="35" spans="1:7" ht="15" customHeight="1">
      <c r="A35" s="79">
        <v>31</v>
      </c>
      <c r="B35" s="80" t="s">
        <v>80</v>
      </c>
      <c r="C35" s="80">
        <v>0</v>
      </c>
      <c r="D35" s="80">
        <v>0</v>
      </c>
      <c r="E35" s="80">
        <v>2</v>
      </c>
      <c r="F35" s="80">
        <f t="shared" si="1"/>
        <v>2</v>
      </c>
      <c r="G35" s="80">
        <v>2</v>
      </c>
    </row>
    <row r="36" spans="1:7" ht="15" customHeight="1">
      <c r="A36" s="79">
        <v>32</v>
      </c>
      <c r="B36" s="80" t="s">
        <v>53</v>
      </c>
      <c r="C36" s="80">
        <v>0</v>
      </c>
      <c r="D36" s="80">
        <v>0</v>
      </c>
      <c r="E36" s="80">
        <v>2</v>
      </c>
      <c r="F36" s="80">
        <f t="shared" si="1"/>
        <v>2</v>
      </c>
      <c r="G36" s="80">
        <v>3</v>
      </c>
    </row>
    <row r="37" spans="1:7" ht="15" customHeight="1">
      <c r="A37" s="79">
        <v>33</v>
      </c>
      <c r="B37" s="80" t="s">
        <v>257</v>
      </c>
      <c r="C37" s="80">
        <v>0</v>
      </c>
      <c r="D37" s="80">
        <v>0</v>
      </c>
      <c r="E37" s="80">
        <v>17</v>
      </c>
      <c r="F37" s="80">
        <f t="shared" si="1"/>
        <v>17</v>
      </c>
      <c r="G37" s="80">
        <v>13</v>
      </c>
    </row>
    <row r="38" spans="1:7" ht="15" customHeight="1">
      <c r="A38" s="79">
        <v>34</v>
      </c>
      <c r="B38" s="80" t="s">
        <v>258</v>
      </c>
      <c r="C38" s="80">
        <v>0</v>
      </c>
      <c r="D38" s="80">
        <v>0</v>
      </c>
      <c r="E38" s="80">
        <v>1</v>
      </c>
      <c r="F38" s="80">
        <f t="shared" si="1"/>
        <v>1</v>
      </c>
      <c r="G38" s="80">
        <v>1</v>
      </c>
    </row>
    <row r="39" spans="1:7" ht="15" customHeight="1">
      <c r="A39" s="79">
        <v>35</v>
      </c>
      <c r="B39" s="80" t="s">
        <v>259</v>
      </c>
      <c r="C39" s="80">
        <v>0</v>
      </c>
      <c r="D39" s="80">
        <v>0</v>
      </c>
      <c r="E39" s="80">
        <v>11</v>
      </c>
      <c r="F39" s="80">
        <f t="shared" si="1"/>
        <v>11</v>
      </c>
      <c r="G39" s="80">
        <v>11</v>
      </c>
    </row>
    <row r="40" spans="1:7" ht="15" customHeight="1">
      <c r="A40" s="79">
        <v>36</v>
      </c>
      <c r="B40" s="80" t="s">
        <v>73</v>
      </c>
      <c r="C40" s="80">
        <v>12</v>
      </c>
      <c r="D40" s="80">
        <v>55</v>
      </c>
      <c r="E40" s="80">
        <v>63</v>
      </c>
      <c r="F40" s="80">
        <f t="shared" si="1"/>
        <v>130</v>
      </c>
      <c r="G40" s="80">
        <v>249</v>
      </c>
    </row>
    <row r="41" spans="1:7" ht="15" customHeight="1">
      <c r="A41" s="79">
        <v>37</v>
      </c>
      <c r="B41" s="80" t="s">
        <v>74</v>
      </c>
      <c r="C41" s="80">
        <v>52</v>
      </c>
      <c r="D41" s="80">
        <v>76</v>
      </c>
      <c r="E41" s="80">
        <v>82</v>
      </c>
      <c r="F41" s="80">
        <f t="shared" si="1"/>
        <v>210</v>
      </c>
      <c r="G41" s="80">
        <v>368</v>
      </c>
    </row>
    <row r="42" spans="1:7" ht="15" customHeight="1">
      <c r="A42" s="79">
        <v>38</v>
      </c>
      <c r="B42" s="80" t="s">
        <v>260</v>
      </c>
      <c r="C42" s="80">
        <v>16</v>
      </c>
      <c r="D42" s="80">
        <v>15</v>
      </c>
      <c r="E42" s="80">
        <v>4</v>
      </c>
      <c r="F42" s="80">
        <f t="shared" si="1"/>
        <v>35</v>
      </c>
      <c r="G42" s="80">
        <v>2</v>
      </c>
    </row>
    <row r="43" spans="1:7" ht="15" customHeight="1">
      <c r="A43" s="79">
        <v>39</v>
      </c>
      <c r="B43" s="80" t="s">
        <v>261</v>
      </c>
      <c r="C43" s="80">
        <v>26</v>
      </c>
      <c r="D43" s="80">
        <v>16</v>
      </c>
      <c r="E43" s="80">
        <v>19</v>
      </c>
      <c r="F43" s="80">
        <f t="shared" si="1"/>
        <v>61</v>
      </c>
      <c r="G43" s="80">
        <v>48</v>
      </c>
    </row>
    <row r="44" spans="1:7" ht="15" customHeight="1">
      <c r="A44" s="79">
        <v>40</v>
      </c>
      <c r="B44" s="80" t="s">
        <v>262</v>
      </c>
      <c r="C44" s="80">
        <v>0</v>
      </c>
      <c r="D44" s="80">
        <v>0</v>
      </c>
      <c r="E44" s="80">
        <v>2</v>
      </c>
      <c r="F44" s="80">
        <f t="shared" si="1"/>
        <v>2</v>
      </c>
      <c r="G44" s="80">
        <v>1</v>
      </c>
    </row>
    <row r="45" spans="1:7" ht="15" customHeight="1">
      <c r="A45" s="79">
        <v>41</v>
      </c>
      <c r="B45" s="80" t="s">
        <v>263</v>
      </c>
      <c r="C45" s="80">
        <v>0</v>
      </c>
      <c r="D45" s="80">
        <v>0</v>
      </c>
      <c r="E45" s="80">
        <v>7</v>
      </c>
      <c r="F45" s="80">
        <f t="shared" si="1"/>
        <v>7</v>
      </c>
      <c r="G45" s="80">
        <v>8</v>
      </c>
    </row>
    <row r="46" spans="1:7" ht="15" customHeight="1">
      <c r="A46" s="79">
        <v>42</v>
      </c>
      <c r="B46" s="80" t="s">
        <v>264</v>
      </c>
      <c r="C46" s="80">
        <v>0</v>
      </c>
      <c r="D46" s="80">
        <v>0</v>
      </c>
      <c r="E46" s="80">
        <v>3</v>
      </c>
      <c r="F46" s="80">
        <f t="shared" si="1"/>
        <v>3</v>
      </c>
      <c r="G46" s="80">
        <v>5</v>
      </c>
    </row>
    <row r="47" spans="1:7" ht="15" customHeight="1">
      <c r="A47" s="79">
        <v>43</v>
      </c>
      <c r="B47" s="80" t="s">
        <v>75</v>
      </c>
      <c r="C47" s="80">
        <v>0</v>
      </c>
      <c r="D47" s="80">
        <v>0</v>
      </c>
      <c r="E47" s="80">
        <v>34</v>
      </c>
      <c r="F47" s="80">
        <f t="shared" si="1"/>
        <v>34</v>
      </c>
      <c r="G47" s="80">
        <v>10</v>
      </c>
    </row>
    <row r="48" spans="1:7" ht="15" customHeight="1">
      <c r="A48" s="79">
        <v>44</v>
      </c>
      <c r="B48" s="80" t="s">
        <v>265</v>
      </c>
      <c r="C48" s="80">
        <v>0</v>
      </c>
      <c r="D48" s="80">
        <v>0</v>
      </c>
      <c r="E48" s="80">
        <v>4</v>
      </c>
      <c r="F48" s="80">
        <f t="shared" si="1"/>
        <v>4</v>
      </c>
      <c r="G48" s="80">
        <v>5</v>
      </c>
    </row>
    <row r="49" spans="1:7" ht="15" customHeight="1">
      <c r="A49" s="79">
        <v>45</v>
      </c>
      <c r="B49" s="80" t="s">
        <v>266</v>
      </c>
      <c r="C49" s="80">
        <v>0</v>
      </c>
      <c r="D49" s="80">
        <v>0</v>
      </c>
      <c r="E49" s="80">
        <v>13</v>
      </c>
      <c r="F49" s="80">
        <f t="shared" si="1"/>
        <v>13</v>
      </c>
      <c r="G49" s="80">
        <v>13</v>
      </c>
    </row>
    <row r="50" spans="1:7" ht="15" customHeight="1">
      <c r="A50" s="79">
        <v>46</v>
      </c>
      <c r="B50" s="80" t="s">
        <v>267</v>
      </c>
      <c r="C50" s="80">
        <v>0</v>
      </c>
      <c r="D50" s="80">
        <v>0</v>
      </c>
      <c r="E50" s="80">
        <v>3</v>
      </c>
      <c r="F50" s="80">
        <f t="shared" si="1"/>
        <v>3</v>
      </c>
      <c r="G50" s="80">
        <v>4</v>
      </c>
    </row>
    <row r="51" spans="1:7" ht="15" customHeight="1">
      <c r="A51" s="79">
        <v>47</v>
      </c>
      <c r="B51" s="80" t="s">
        <v>79</v>
      </c>
      <c r="C51" s="80">
        <v>0</v>
      </c>
      <c r="D51" s="80">
        <v>0</v>
      </c>
      <c r="E51" s="80">
        <v>3</v>
      </c>
      <c r="F51" s="80">
        <f t="shared" si="1"/>
        <v>3</v>
      </c>
      <c r="G51" s="80">
        <v>3</v>
      </c>
    </row>
    <row r="52" spans="1:7" ht="15" customHeight="1">
      <c r="A52" s="79">
        <v>48</v>
      </c>
      <c r="B52" s="80" t="s">
        <v>268</v>
      </c>
      <c r="C52" s="80">
        <v>0</v>
      </c>
      <c r="D52" s="80">
        <v>0</v>
      </c>
      <c r="E52" s="80">
        <v>3</v>
      </c>
      <c r="F52" s="80">
        <f t="shared" si="1"/>
        <v>3</v>
      </c>
      <c r="G52" s="80">
        <v>3</v>
      </c>
    </row>
    <row r="53" spans="1:7" ht="15" customHeight="1">
      <c r="A53" s="79">
        <v>49</v>
      </c>
      <c r="B53" s="80" t="s">
        <v>78</v>
      </c>
      <c r="C53" s="80">
        <v>0</v>
      </c>
      <c r="D53" s="80">
        <v>0</v>
      </c>
      <c r="E53" s="80">
        <v>44</v>
      </c>
      <c r="F53" s="80">
        <f t="shared" si="1"/>
        <v>44</v>
      </c>
      <c r="G53" s="80">
        <v>19</v>
      </c>
    </row>
    <row r="54" spans="1:7" ht="15" customHeight="1">
      <c r="A54" s="81"/>
      <c r="B54" s="82" t="s">
        <v>274</v>
      </c>
      <c r="C54" s="82">
        <f>SUM(C32:C53)</f>
        <v>130</v>
      </c>
      <c r="D54" s="82">
        <f>SUM(D32:D53)</f>
        <v>208</v>
      </c>
      <c r="E54" s="82">
        <f>SUM(E32:E53)</f>
        <v>395</v>
      </c>
      <c r="F54" s="82">
        <f>SUM(F32:F53)</f>
        <v>733</v>
      </c>
      <c r="G54" s="82">
        <f>SUM(G32:G53)</f>
        <v>1151</v>
      </c>
    </row>
    <row r="55" spans="1:7" ht="15" customHeight="1">
      <c r="A55" s="79">
        <v>50</v>
      </c>
      <c r="B55" s="80" t="s">
        <v>48</v>
      </c>
      <c r="C55" s="80">
        <v>277</v>
      </c>
      <c r="D55" s="80">
        <v>134</v>
      </c>
      <c r="E55" s="80">
        <v>44</v>
      </c>
      <c r="F55" s="80">
        <f aca="true" t="shared" si="2" ref="F55:F60">C55+D55+E55</f>
        <v>455</v>
      </c>
      <c r="G55" s="80">
        <v>0</v>
      </c>
    </row>
    <row r="56" spans="1:7" ht="15" customHeight="1">
      <c r="A56" s="79">
        <v>51</v>
      </c>
      <c r="B56" s="80" t="s">
        <v>269</v>
      </c>
      <c r="C56" s="80">
        <v>330</v>
      </c>
      <c r="D56" s="80">
        <v>76</v>
      </c>
      <c r="E56" s="80">
        <v>48</v>
      </c>
      <c r="F56" s="80">
        <f>C56+D56+E56</f>
        <v>454</v>
      </c>
      <c r="G56" s="80">
        <v>0</v>
      </c>
    </row>
    <row r="57" spans="1:7" ht="15" customHeight="1">
      <c r="A57" s="79">
        <v>52</v>
      </c>
      <c r="B57" s="80" t="s">
        <v>54</v>
      </c>
      <c r="C57" s="80">
        <v>257</v>
      </c>
      <c r="D57" s="80">
        <v>87</v>
      </c>
      <c r="E57" s="80">
        <v>33</v>
      </c>
      <c r="F57" s="80">
        <f t="shared" si="2"/>
        <v>377</v>
      </c>
      <c r="G57" s="80">
        <v>0</v>
      </c>
    </row>
    <row r="58" spans="1:7" ht="15" customHeight="1">
      <c r="A58" s="81"/>
      <c r="B58" s="82" t="s">
        <v>270</v>
      </c>
      <c r="C58" s="82">
        <f>SUM(C55:C57)</f>
        <v>864</v>
      </c>
      <c r="D58" s="82">
        <f>SUM(D55:D57)</f>
        <v>297</v>
      </c>
      <c r="E58" s="82">
        <f>SUM(E55:E57)</f>
        <v>125</v>
      </c>
      <c r="F58" s="82">
        <f>SUM(F55:F57)</f>
        <v>1286</v>
      </c>
      <c r="G58" s="82">
        <f>SUM(G55:G57)</f>
        <v>0</v>
      </c>
    </row>
    <row r="59" spans="1:7" ht="15" customHeight="1">
      <c r="A59" s="79">
        <v>53</v>
      </c>
      <c r="B59" s="80" t="s">
        <v>277</v>
      </c>
      <c r="C59" s="80">
        <v>297</v>
      </c>
      <c r="D59" s="80">
        <v>470</v>
      </c>
      <c r="E59" s="80">
        <v>86</v>
      </c>
      <c r="F59" s="80">
        <f t="shared" si="2"/>
        <v>853</v>
      </c>
      <c r="G59" s="80">
        <v>0</v>
      </c>
    </row>
    <row r="60" spans="1:7" ht="15" customHeight="1">
      <c r="A60" s="79">
        <v>54</v>
      </c>
      <c r="B60" s="80" t="s">
        <v>271</v>
      </c>
      <c r="C60" s="80">
        <v>261</v>
      </c>
      <c r="D60" s="80">
        <v>0</v>
      </c>
      <c r="E60" s="80">
        <v>7</v>
      </c>
      <c r="F60" s="80">
        <f t="shared" si="2"/>
        <v>268</v>
      </c>
      <c r="G60" s="80">
        <v>0</v>
      </c>
    </row>
    <row r="61" spans="1:7" ht="15" customHeight="1">
      <c r="A61" s="79"/>
      <c r="B61" s="82" t="s">
        <v>275</v>
      </c>
      <c r="C61" s="82">
        <f>SUM(C59:C60)</f>
        <v>558</v>
      </c>
      <c r="D61" s="82">
        <f>SUM(D59:D60)</f>
        <v>470</v>
      </c>
      <c r="E61" s="82">
        <f>SUM(E59:E60)</f>
        <v>93</v>
      </c>
      <c r="F61" s="82">
        <f>SUM(F59:F60)</f>
        <v>1121</v>
      </c>
      <c r="G61" s="82">
        <f>SUM(G59:G60)</f>
        <v>0</v>
      </c>
    </row>
    <row r="62" spans="1:7" ht="15" customHeight="1">
      <c r="A62" s="81"/>
      <c r="B62" s="82" t="s">
        <v>276</v>
      </c>
      <c r="C62" s="82">
        <f>C61+C58+C54+C31</f>
        <v>2912</v>
      </c>
      <c r="D62" s="82">
        <f>D61+D58+D54+D31</f>
        <v>2263</v>
      </c>
      <c r="E62" s="82">
        <f>E61+E58+E54+E31</f>
        <v>2124</v>
      </c>
      <c r="F62" s="82">
        <f>F61+F58+F54+F31</f>
        <v>7299</v>
      </c>
      <c r="G62" s="82">
        <f>G61+G58+G54+G31</f>
        <v>10230</v>
      </c>
    </row>
    <row r="63" spans="1:7" ht="15" customHeight="1">
      <c r="A63" s="83"/>
      <c r="B63" s="84" t="s">
        <v>273</v>
      </c>
      <c r="C63" s="85"/>
      <c r="D63" s="85"/>
      <c r="E63" s="85"/>
      <c r="F63" s="85"/>
      <c r="G63" s="85"/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A1:G1"/>
    <mergeCell ref="A2:G2"/>
  </mergeCells>
  <conditionalFormatting sqref="A4:A63">
    <cfRule type="duplicateValues" priority="91" dxfId="197">
      <formula>AND(COUNTIF($A$4:$A$63,A4)&gt;1,NOT(ISBLANK(A4)))</formula>
    </cfRule>
  </conditionalFormatting>
  <conditionalFormatting sqref="B4:B63">
    <cfRule type="duplicateValues" priority="92" dxfId="197">
      <formula>AND(COUNTIF($B$4:$B$63,B4)&gt;1,NOT(ISBLANK(B4)))</formula>
    </cfRule>
  </conditionalFormatting>
  <printOptions horizontalCentered="1"/>
  <pageMargins left="0.25" right="0.25" top="0.25" bottom="0.5" header="0.3" footer="0.3"/>
  <pageSetup fitToHeight="0" horizontalDpi="600" verticalDpi="600" orientation="portrait" scale="75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59"/>
  <sheetViews>
    <sheetView view="pageBreakPreview" zoomScale="60" zoomScalePageLayoutView="0" workbookViewId="0" topLeftCell="A1">
      <pane xSplit="6" ySplit="5" topLeftCell="G3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37" sqref="K37"/>
    </sheetView>
  </sheetViews>
  <sheetFormatPr defaultColWidth="9.140625" defaultRowHeight="12.75"/>
  <cols>
    <col min="1" max="1" width="4.421875" style="192" customWidth="1"/>
    <col min="2" max="2" width="26.57421875" style="192" customWidth="1"/>
    <col min="3" max="5" width="11.8515625" style="198" bestFit="1" customWidth="1"/>
    <col min="6" max="6" width="10.57421875" style="198" bestFit="1" customWidth="1"/>
    <col min="7" max="7" width="9.7109375" style="199" customWidth="1"/>
    <col min="8" max="8" width="11.140625" style="198" bestFit="1" customWidth="1"/>
    <col min="9" max="9" width="13.421875" style="198" bestFit="1" customWidth="1"/>
    <col min="10" max="10" width="11.57421875" style="198" bestFit="1" customWidth="1"/>
    <col min="11" max="11" width="10.8515625" style="198" bestFit="1" customWidth="1"/>
    <col min="12" max="12" width="8.28125" style="200" customWidth="1"/>
    <col min="13" max="16384" width="9.140625" style="192" customWidth="1"/>
  </cols>
  <sheetData>
    <row r="1" spans="1:12" ht="15" customHeight="1">
      <c r="A1" s="585" t="s">
        <v>176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2:9" ht="15" customHeight="1">
      <c r="B2" s="195" t="s">
        <v>141</v>
      </c>
      <c r="C2" s="197"/>
      <c r="D2" s="197"/>
      <c r="I2" s="197" t="s">
        <v>186</v>
      </c>
    </row>
    <row r="3" spans="1:12" ht="15" customHeight="1">
      <c r="A3" s="584" t="s">
        <v>124</v>
      </c>
      <c r="B3" s="584" t="s">
        <v>102</v>
      </c>
      <c r="C3" s="587" t="s">
        <v>44</v>
      </c>
      <c r="D3" s="587"/>
      <c r="E3" s="587"/>
      <c r="F3" s="587"/>
      <c r="G3" s="586" t="s">
        <v>178</v>
      </c>
      <c r="H3" s="583" t="s">
        <v>245</v>
      </c>
      <c r="I3" s="583"/>
      <c r="J3" s="583"/>
      <c r="K3" s="583"/>
      <c r="L3" s="586" t="s">
        <v>178</v>
      </c>
    </row>
    <row r="4" spans="1:12" ht="24.75" customHeight="1">
      <c r="A4" s="584"/>
      <c r="B4" s="584"/>
      <c r="C4" s="583" t="s">
        <v>21</v>
      </c>
      <c r="D4" s="583"/>
      <c r="E4" s="583" t="s">
        <v>181</v>
      </c>
      <c r="F4" s="583"/>
      <c r="G4" s="586"/>
      <c r="H4" s="583" t="s">
        <v>21</v>
      </c>
      <c r="I4" s="583"/>
      <c r="J4" s="583" t="s">
        <v>181</v>
      </c>
      <c r="K4" s="583"/>
      <c r="L4" s="586"/>
    </row>
    <row r="5" spans="1:12" ht="15" customHeight="1">
      <c r="A5" s="584"/>
      <c r="B5" s="584"/>
      <c r="C5" s="201" t="s">
        <v>128</v>
      </c>
      <c r="D5" s="201" t="s">
        <v>101</v>
      </c>
      <c r="E5" s="201" t="s">
        <v>128</v>
      </c>
      <c r="F5" s="201" t="s">
        <v>101</v>
      </c>
      <c r="G5" s="586"/>
      <c r="H5" s="201" t="s">
        <v>128</v>
      </c>
      <c r="I5" s="201" t="s">
        <v>101</v>
      </c>
      <c r="J5" s="201" t="s">
        <v>128</v>
      </c>
      <c r="K5" s="201" t="s">
        <v>101</v>
      </c>
      <c r="L5" s="586"/>
    </row>
    <row r="6" spans="1:12" ht="15" customHeight="1">
      <c r="A6" s="179">
        <v>1</v>
      </c>
      <c r="B6" s="180" t="s">
        <v>57</v>
      </c>
      <c r="C6" s="119">
        <v>54074</v>
      </c>
      <c r="D6" s="119">
        <v>132297.06</v>
      </c>
      <c r="E6" s="119">
        <v>2748</v>
      </c>
      <c r="F6" s="119">
        <v>3507.53</v>
      </c>
      <c r="G6" s="120">
        <f>F6*100/D6</f>
        <v>2.65125317221713</v>
      </c>
      <c r="H6" s="119">
        <v>46337</v>
      </c>
      <c r="I6" s="119">
        <v>102589.04</v>
      </c>
      <c r="J6" s="119">
        <v>2674</v>
      </c>
      <c r="K6" s="119">
        <v>3378.48</v>
      </c>
      <c r="L6" s="181">
        <f>K6*100/I6</f>
        <v>3.293217287148803</v>
      </c>
    </row>
    <row r="7" spans="1:12" ht="15" customHeight="1">
      <c r="A7" s="179">
        <v>2</v>
      </c>
      <c r="B7" s="180" t="s">
        <v>58</v>
      </c>
      <c r="C7" s="119">
        <v>1164</v>
      </c>
      <c r="D7" s="119">
        <v>3275.33</v>
      </c>
      <c r="E7" s="119">
        <v>336</v>
      </c>
      <c r="F7" s="119">
        <v>641</v>
      </c>
      <c r="G7" s="120">
        <f aca="true" t="shared" si="0" ref="G7:G59">F7*100/D7</f>
        <v>19.57054708991155</v>
      </c>
      <c r="H7" s="119">
        <v>998</v>
      </c>
      <c r="I7" s="119">
        <v>2539.84</v>
      </c>
      <c r="J7" s="119">
        <v>317</v>
      </c>
      <c r="K7" s="119">
        <v>615</v>
      </c>
      <c r="L7" s="181">
        <f aca="true" t="shared" si="1" ref="L7:L59">K7*100/I7</f>
        <v>24.21412372432909</v>
      </c>
    </row>
    <row r="8" spans="1:12" ht="15" customHeight="1">
      <c r="A8" s="179">
        <v>3</v>
      </c>
      <c r="B8" s="180" t="s">
        <v>59</v>
      </c>
      <c r="C8" s="119">
        <v>36322</v>
      </c>
      <c r="D8" s="119">
        <v>110861.54</v>
      </c>
      <c r="E8" s="119">
        <v>6359</v>
      </c>
      <c r="F8" s="119">
        <v>9781</v>
      </c>
      <c r="G8" s="120">
        <f t="shared" si="0"/>
        <v>8.822717057691964</v>
      </c>
      <c r="H8" s="119">
        <v>31125</v>
      </c>
      <c r="I8" s="119">
        <v>85966.98</v>
      </c>
      <c r="J8" s="119">
        <v>5052</v>
      </c>
      <c r="K8" s="119">
        <v>7719</v>
      </c>
      <c r="L8" s="181">
        <f t="shared" si="1"/>
        <v>8.97902892482672</v>
      </c>
    </row>
    <row r="9" spans="1:12" ht="15" customHeight="1">
      <c r="A9" s="179">
        <v>4</v>
      </c>
      <c r="B9" s="180" t="s">
        <v>60</v>
      </c>
      <c r="C9" s="119">
        <v>183600</v>
      </c>
      <c r="D9" s="119">
        <v>678059.37</v>
      </c>
      <c r="E9" s="119">
        <v>232871</v>
      </c>
      <c r="F9" s="119">
        <v>276425.7850813999</v>
      </c>
      <c r="G9" s="120">
        <f t="shared" si="0"/>
        <v>40.76719492592513</v>
      </c>
      <c r="H9" s="119">
        <v>157330</v>
      </c>
      <c r="I9" s="119">
        <v>525797.44</v>
      </c>
      <c r="J9" s="119">
        <v>203366</v>
      </c>
      <c r="K9" s="119">
        <v>229335.75</v>
      </c>
      <c r="L9" s="181">
        <f t="shared" si="1"/>
        <v>43.61674906595209</v>
      </c>
    </row>
    <row r="10" spans="1:12" ht="15" customHeight="1">
      <c r="A10" s="179">
        <v>5</v>
      </c>
      <c r="B10" s="180" t="s">
        <v>61</v>
      </c>
      <c r="C10" s="119">
        <v>39084</v>
      </c>
      <c r="D10" s="119">
        <v>113663.74</v>
      </c>
      <c r="E10" s="119">
        <v>17903</v>
      </c>
      <c r="F10" s="119">
        <v>22730</v>
      </c>
      <c r="G10" s="120">
        <f t="shared" si="0"/>
        <v>19.997582342442715</v>
      </c>
      <c r="H10" s="119">
        <v>33492</v>
      </c>
      <c r="I10" s="119">
        <v>88139.94</v>
      </c>
      <c r="J10" s="119">
        <v>17783</v>
      </c>
      <c r="K10" s="119">
        <v>20173</v>
      </c>
      <c r="L10" s="181">
        <f t="shared" si="1"/>
        <v>22.887467361561626</v>
      </c>
    </row>
    <row r="11" spans="1:12" ht="15" customHeight="1">
      <c r="A11" s="179">
        <v>6</v>
      </c>
      <c r="B11" s="121" t="s">
        <v>289</v>
      </c>
      <c r="C11" s="119">
        <v>15</v>
      </c>
      <c r="D11" s="119">
        <v>25</v>
      </c>
      <c r="E11" s="119">
        <v>1</v>
      </c>
      <c r="F11" s="119">
        <v>1</v>
      </c>
      <c r="G11" s="120">
        <f t="shared" si="0"/>
        <v>4</v>
      </c>
      <c r="H11" s="119">
        <v>0</v>
      </c>
      <c r="I11" s="119">
        <v>0</v>
      </c>
      <c r="J11" s="119">
        <v>0</v>
      </c>
      <c r="K11" s="119">
        <v>0</v>
      </c>
      <c r="L11" s="181">
        <v>0</v>
      </c>
    </row>
    <row r="12" spans="1:14" ht="15" customHeight="1">
      <c r="A12" s="179">
        <v>7</v>
      </c>
      <c r="B12" s="180" t="s">
        <v>62</v>
      </c>
      <c r="C12" s="119">
        <v>21135</v>
      </c>
      <c r="D12" s="119">
        <v>56486.68</v>
      </c>
      <c r="E12" s="119">
        <v>16987</v>
      </c>
      <c r="F12" s="119">
        <v>24826</v>
      </c>
      <c r="G12" s="120">
        <f t="shared" si="0"/>
        <v>43.95018436204783</v>
      </c>
      <c r="H12" s="119">
        <v>18111</v>
      </c>
      <c r="I12" s="119">
        <v>43802.3</v>
      </c>
      <c r="J12" s="119">
        <v>13298</v>
      </c>
      <c r="K12" s="119">
        <v>21434</v>
      </c>
      <c r="L12" s="181">
        <f t="shared" si="1"/>
        <v>48.93350349182577</v>
      </c>
      <c r="N12" s="192" t="s">
        <v>333</v>
      </c>
    </row>
    <row r="13" spans="1:12" ht="15" customHeight="1">
      <c r="A13" s="179">
        <v>8</v>
      </c>
      <c r="B13" s="180" t="s">
        <v>63</v>
      </c>
      <c r="C13" s="119">
        <v>196359</v>
      </c>
      <c r="D13" s="119">
        <v>564434.85</v>
      </c>
      <c r="E13" s="119">
        <v>45162</v>
      </c>
      <c r="F13" s="119">
        <v>122821.02336</v>
      </c>
      <c r="G13" s="120">
        <f t="shared" si="0"/>
        <v>21.76</v>
      </c>
      <c r="H13" s="119">
        <v>168264</v>
      </c>
      <c r="I13" s="119">
        <v>437687.94</v>
      </c>
      <c r="J13" s="119">
        <v>37087</v>
      </c>
      <c r="K13" s="119">
        <v>87595</v>
      </c>
      <c r="L13" s="181">
        <f t="shared" si="1"/>
        <v>20.013117108047346</v>
      </c>
    </row>
    <row r="14" spans="1:12" ht="15" customHeight="1">
      <c r="A14" s="179">
        <v>9</v>
      </c>
      <c r="B14" s="180" t="s">
        <v>50</v>
      </c>
      <c r="C14" s="119">
        <v>4311</v>
      </c>
      <c r="D14" s="119">
        <v>13963.1</v>
      </c>
      <c r="E14" s="119">
        <v>1791</v>
      </c>
      <c r="F14" s="119">
        <v>4730.41</v>
      </c>
      <c r="G14" s="120">
        <f t="shared" si="0"/>
        <v>33.87793541548796</v>
      </c>
      <c r="H14" s="119">
        <v>3694</v>
      </c>
      <c r="I14" s="119">
        <v>10827.62</v>
      </c>
      <c r="J14" s="119">
        <v>774</v>
      </c>
      <c r="K14" s="119">
        <v>2363</v>
      </c>
      <c r="L14" s="181">
        <f t="shared" si="1"/>
        <v>21.823817237767855</v>
      </c>
    </row>
    <row r="15" spans="1:12" ht="15" customHeight="1">
      <c r="A15" s="179">
        <v>10</v>
      </c>
      <c r="B15" s="180" t="s">
        <v>51</v>
      </c>
      <c r="C15" s="119">
        <v>11344</v>
      </c>
      <c r="D15" s="119">
        <v>39277.34</v>
      </c>
      <c r="E15" s="119">
        <v>1477</v>
      </c>
      <c r="F15" s="119">
        <v>4854</v>
      </c>
      <c r="G15" s="120">
        <f t="shared" si="0"/>
        <v>12.358270697557423</v>
      </c>
      <c r="H15" s="119">
        <v>9722</v>
      </c>
      <c r="I15" s="119">
        <v>30457.4</v>
      </c>
      <c r="J15" s="119">
        <v>1371</v>
      </c>
      <c r="K15" s="119">
        <v>4521</v>
      </c>
      <c r="L15" s="181">
        <f t="shared" si="1"/>
        <v>14.84368330848989</v>
      </c>
    </row>
    <row r="16" spans="1:12" ht="15" customHeight="1">
      <c r="A16" s="179">
        <v>11</v>
      </c>
      <c r="B16" s="180" t="s">
        <v>290</v>
      </c>
      <c r="C16" s="119">
        <v>7630</v>
      </c>
      <c r="D16" s="119">
        <v>22892.94</v>
      </c>
      <c r="E16" s="119">
        <v>5634</v>
      </c>
      <c r="F16" s="119">
        <v>13131.4</v>
      </c>
      <c r="G16" s="120">
        <f t="shared" si="0"/>
        <v>57.36004200421615</v>
      </c>
      <c r="H16" s="119">
        <v>6538</v>
      </c>
      <c r="I16" s="119">
        <v>17752.2</v>
      </c>
      <c r="J16" s="119">
        <v>2412</v>
      </c>
      <c r="K16" s="119">
        <v>4721</v>
      </c>
      <c r="L16" s="181">
        <f t="shared" si="1"/>
        <v>26.5938869548563</v>
      </c>
    </row>
    <row r="17" spans="1:12" ht="15" customHeight="1">
      <c r="A17" s="179">
        <v>12</v>
      </c>
      <c r="B17" s="180" t="s">
        <v>64</v>
      </c>
      <c r="C17" s="119">
        <v>3329</v>
      </c>
      <c r="D17" s="119">
        <v>11227.65</v>
      </c>
      <c r="E17" s="119">
        <v>2387</v>
      </c>
      <c r="F17" s="119">
        <v>3753.52</v>
      </c>
      <c r="G17" s="120">
        <f t="shared" si="0"/>
        <v>33.43103855214582</v>
      </c>
      <c r="H17" s="119">
        <v>2854</v>
      </c>
      <c r="I17" s="119">
        <v>8706.42</v>
      </c>
      <c r="J17" s="119">
        <v>1758</v>
      </c>
      <c r="K17" s="119">
        <v>2786.26</v>
      </c>
      <c r="L17" s="181">
        <f t="shared" si="1"/>
        <v>32.00236147578453</v>
      </c>
    </row>
    <row r="18" spans="1:12" ht="15" customHeight="1">
      <c r="A18" s="179">
        <v>13</v>
      </c>
      <c r="B18" s="180" t="s">
        <v>65</v>
      </c>
      <c r="C18" s="119">
        <v>3884</v>
      </c>
      <c r="D18" s="119">
        <v>10855.43</v>
      </c>
      <c r="E18" s="119">
        <v>196</v>
      </c>
      <c r="F18" s="119">
        <v>257.49</v>
      </c>
      <c r="G18" s="120">
        <f t="shared" si="0"/>
        <v>2.3719926341010904</v>
      </c>
      <c r="H18" s="119">
        <v>3328</v>
      </c>
      <c r="I18" s="119">
        <v>8417.78</v>
      </c>
      <c r="J18" s="119">
        <v>28</v>
      </c>
      <c r="K18" s="119">
        <v>44.800000000000004</v>
      </c>
      <c r="L18" s="181">
        <f t="shared" si="1"/>
        <v>0.532206828878873</v>
      </c>
    </row>
    <row r="19" spans="1:12" ht="15" customHeight="1">
      <c r="A19" s="179">
        <v>14</v>
      </c>
      <c r="B19" s="122" t="s">
        <v>291</v>
      </c>
      <c r="C19" s="119">
        <v>13936</v>
      </c>
      <c r="D19" s="119">
        <v>44640.09</v>
      </c>
      <c r="E19" s="119">
        <v>3522</v>
      </c>
      <c r="F19" s="119">
        <v>7216.02</v>
      </c>
      <c r="G19" s="120">
        <f t="shared" si="0"/>
        <v>16.1648867643412</v>
      </c>
      <c r="H19" s="119">
        <v>11942</v>
      </c>
      <c r="I19" s="119">
        <v>34615.92</v>
      </c>
      <c r="J19" s="119">
        <v>3508</v>
      </c>
      <c r="K19" s="119">
        <v>6484.39</v>
      </c>
      <c r="L19" s="181">
        <f t="shared" si="1"/>
        <v>18.73239249455164</v>
      </c>
    </row>
    <row r="20" spans="1:12" ht="15" customHeight="1">
      <c r="A20" s="179">
        <v>15</v>
      </c>
      <c r="B20" s="180" t="s">
        <v>292</v>
      </c>
      <c r="C20" s="119">
        <v>6145</v>
      </c>
      <c r="D20" s="119">
        <v>20050.1</v>
      </c>
      <c r="E20" s="119">
        <v>184</v>
      </c>
      <c r="F20" s="119">
        <v>385</v>
      </c>
      <c r="G20" s="120">
        <f t="shared" si="0"/>
        <v>1.9201899242397795</v>
      </c>
      <c r="H20" s="119">
        <v>5266</v>
      </c>
      <c r="I20" s="119">
        <v>15547.74</v>
      </c>
      <c r="J20" s="119">
        <v>148</v>
      </c>
      <c r="K20" s="119">
        <v>262</v>
      </c>
      <c r="L20" s="181">
        <f t="shared" si="1"/>
        <v>1.6851323729365169</v>
      </c>
    </row>
    <row r="21" spans="1:12" ht="15" customHeight="1">
      <c r="A21" s="179">
        <v>16</v>
      </c>
      <c r="B21" s="180" t="s">
        <v>66</v>
      </c>
      <c r="C21" s="119">
        <v>78576</v>
      </c>
      <c r="D21" s="119">
        <v>254603.81</v>
      </c>
      <c r="E21" s="119">
        <v>47745</v>
      </c>
      <c r="F21" s="119">
        <v>107845</v>
      </c>
      <c r="G21" s="120">
        <f t="shared" si="0"/>
        <v>42.35796785601912</v>
      </c>
      <c r="H21" s="119">
        <v>67334</v>
      </c>
      <c r="I21" s="119">
        <v>197431.14</v>
      </c>
      <c r="J21" s="119">
        <v>47559</v>
      </c>
      <c r="K21" s="119">
        <v>79056</v>
      </c>
      <c r="L21" s="181">
        <f t="shared" si="1"/>
        <v>40.04231551314549</v>
      </c>
    </row>
    <row r="22" spans="1:12" ht="15" customHeight="1">
      <c r="A22" s="179">
        <v>17</v>
      </c>
      <c r="B22" s="122" t="s">
        <v>67</v>
      </c>
      <c r="C22" s="119">
        <v>15374</v>
      </c>
      <c r="D22" s="119">
        <v>39813.05</v>
      </c>
      <c r="E22" s="119">
        <v>8123</v>
      </c>
      <c r="F22" s="119">
        <v>11524</v>
      </c>
      <c r="G22" s="120">
        <f t="shared" si="0"/>
        <v>28.945283016498358</v>
      </c>
      <c r="H22" s="119">
        <v>13174</v>
      </c>
      <c r="I22" s="119">
        <v>30872.82</v>
      </c>
      <c r="J22" s="119">
        <v>6448</v>
      </c>
      <c r="K22" s="119">
        <v>8685</v>
      </c>
      <c r="L22" s="181">
        <f t="shared" si="1"/>
        <v>28.131540947668533</v>
      </c>
    </row>
    <row r="23" spans="1:12" ht="15" customHeight="1">
      <c r="A23" s="179">
        <v>18</v>
      </c>
      <c r="B23" s="80" t="s">
        <v>253</v>
      </c>
      <c r="C23" s="119">
        <v>41458</v>
      </c>
      <c r="D23" s="119">
        <v>131290.8</v>
      </c>
      <c r="E23" s="119">
        <v>1431</v>
      </c>
      <c r="F23" s="119">
        <v>3495</v>
      </c>
      <c r="G23" s="120">
        <f t="shared" si="0"/>
        <v>2.66202963193156</v>
      </c>
      <c r="H23" s="119">
        <v>35526</v>
      </c>
      <c r="I23" s="119">
        <v>101808.74</v>
      </c>
      <c r="J23" s="119">
        <v>1137</v>
      </c>
      <c r="K23" s="119">
        <v>3001</v>
      </c>
      <c r="L23" s="181">
        <f t="shared" si="1"/>
        <v>2.947684059345003</v>
      </c>
    </row>
    <row r="24" spans="1:12" ht="15" customHeight="1">
      <c r="A24" s="179">
        <v>19</v>
      </c>
      <c r="B24" s="123" t="s">
        <v>68</v>
      </c>
      <c r="C24" s="119">
        <v>88914</v>
      </c>
      <c r="D24" s="119">
        <v>210100.66</v>
      </c>
      <c r="E24" s="119">
        <v>5468</v>
      </c>
      <c r="F24" s="119">
        <v>10763.5</v>
      </c>
      <c r="G24" s="120">
        <f t="shared" si="0"/>
        <v>5.123020555956368</v>
      </c>
      <c r="H24" s="119">
        <v>76192</v>
      </c>
      <c r="I24" s="119">
        <v>162921.41</v>
      </c>
      <c r="J24" s="119">
        <v>4918</v>
      </c>
      <c r="K24" s="119">
        <v>9634.02</v>
      </c>
      <c r="L24" s="181">
        <f t="shared" si="1"/>
        <v>5.913292795587762</v>
      </c>
    </row>
    <row r="25" spans="1:12" ht="15" customHeight="1">
      <c r="A25" s="179">
        <v>20</v>
      </c>
      <c r="B25" s="180" t="s">
        <v>69</v>
      </c>
      <c r="C25" s="119">
        <v>1018</v>
      </c>
      <c r="D25" s="119">
        <v>2703.56</v>
      </c>
      <c r="E25" s="119">
        <v>0</v>
      </c>
      <c r="F25" s="119">
        <v>0</v>
      </c>
      <c r="G25" s="120">
        <f t="shared" si="0"/>
        <v>0</v>
      </c>
      <c r="H25" s="119">
        <v>872</v>
      </c>
      <c r="I25" s="119">
        <v>2096.46</v>
      </c>
      <c r="J25" s="119">
        <v>0</v>
      </c>
      <c r="K25" s="119">
        <v>0</v>
      </c>
      <c r="L25" s="181">
        <f t="shared" si="1"/>
        <v>0</v>
      </c>
    </row>
    <row r="26" spans="1:12" ht="15" customHeight="1">
      <c r="A26" s="179">
        <v>21</v>
      </c>
      <c r="B26" s="180" t="s">
        <v>52</v>
      </c>
      <c r="C26" s="119">
        <v>4166</v>
      </c>
      <c r="D26" s="119">
        <v>13146.41</v>
      </c>
      <c r="E26" s="119">
        <v>1302</v>
      </c>
      <c r="F26" s="119">
        <v>1607.97</v>
      </c>
      <c r="G26" s="120">
        <f t="shared" si="0"/>
        <v>12.23124792243662</v>
      </c>
      <c r="H26" s="119">
        <v>3570</v>
      </c>
      <c r="I26" s="119">
        <v>10194.32</v>
      </c>
      <c r="J26" s="119">
        <v>1289</v>
      </c>
      <c r="K26" s="119">
        <v>1585</v>
      </c>
      <c r="L26" s="181">
        <f t="shared" si="1"/>
        <v>15.547873717913506</v>
      </c>
    </row>
    <row r="27" spans="1:13" s="195" customFormat="1" ht="15" customHeight="1">
      <c r="A27" s="182"/>
      <c r="B27" s="183" t="s">
        <v>293</v>
      </c>
      <c r="C27" s="124">
        <f>SUM(C6:C26)</f>
        <v>811838</v>
      </c>
      <c r="D27" s="124">
        <f aca="true" t="shared" si="2" ref="D27:K27">SUM(D6:D26)</f>
        <v>2473668.5100000002</v>
      </c>
      <c r="E27" s="124">
        <f t="shared" si="2"/>
        <v>401627</v>
      </c>
      <c r="F27" s="124">
        <f t="shared" si="2"/>
        <v>630296.6484413999</v>
      </c>
      <c r="G27" s="120">
        <f t="shared" si="0"/>
        <v>25.480239001037365</v>
      </c>
      <c r="H27" s="124">
        <f t="shared" si="2"/>
        <v>695669</v>
      </c>
      <c r="I27" s="124">
        <f t="shared" si="2"/>
        <v>1918173.4499999997</v>
      </c>
      <c r="J27" s="124">
        <f t="shared" si="2"/>
        <v>350927</v>
      </c>
      <c r="K27" s="124">
        <f t="shared" si="2"/>
        <v>493393.7</v>
      </c>
      <c r="L27" s="181">
        <f t="shared" si="1"/>
        <v>25.722058659502355</v>
      </c>
      <c r="M27" s="192"/>
    </row>
    <row r="28" spans="1:12" ht="15" customHeight="1">
      <c r="A28" s="179">
        <v>22</v>
      </c>
      <c r="B28" s="180" t="s">
        <v>294</v>
      </c>
      <c r="C28" s="119">
        <v>65</v>
      </c>
      <c r="D28" s="119">
        <v>223.17</v>
      </c>
      <c r="E28" s="119">
        <v>0</v>
      </c>
      <c r="F28" s="119">
        <v>0</v>
      </c>
      <c r="G28" s="120">
        <f t="shared" si="0"/>
        <v>0</v>
      </c>
      <c r="H28" s="119">
        <v>56</v>
      </c>
      <c r="I28" s="119">
        <v>173.06</v>
      </c>
      <c r="J28" s="119">
        <v>0</v>
      </c>
      <c r="K28" s="119">
        <v>0</v>
      </c>
      <c r="L28" s="181">
        <f t="shared" si="1"/>
        <v>0</v>
      </c>
    </row>
    <row r="29" spans="1:12" ht="15" customHeight="1">
      <c r="A29" s="179">
        <v>23</v>
      </c>
      <c r="B29" s="180" t="s">
        <v>295</v>
      </c>
      <c r="C29" s="119">
        <v>28</v>
      </c>
      <c r="D29" s="119">
        <v>126.06</v>
      </c>
      <c r="E29" s="119">
        <v>0</v>
      </c>
      <c r="F29" s="119">
        <v>0</v>
      </c>
      <c r="G29" s="120">
        <f t="shared" si="0"/>
        <v>0</v>
      </c>
      <c r="H29" s="119">
        <v>24</v>
      </c>
      <c r="I29" s="119">
        <v>97.76</v>
      </c>
      <c r="J29" s="119">
        <v>0</v>
      </c>
      <c r="K29" s="119">
        <v>0</v>
      </c>
      <c r="L29" s="181">
        <f t="shared" si="1"/>
        <v>0</v>
      </c>
    </row>
    <row r="30" spans="1:12" ht="15" customHeight="1">
      <c r="A30" s="179">
        <v>24</v>
      </c>
      <c r="B30" s="180" t="s">
        <v>296</v>
      </c>
      <c r="C30" s="125">
        <v>321</v>
      </c>
      <c r="D30" s="125">
        <v>638.35</v>
      </c>
      <c r="E30" s="119">
        <v>0</v>
      </c>
      <c r="F30" s="119">
        <v>0</v>
      </c>
      <c r="G30" s="120">
        <f t="shared" si="0"/>
        <v>0</v>
      </c>
      <c r="H30" s="125">
        <v>275</v>
      </c>
      <c r="I30" s="125">
        <v>495</v>
      </c>
      <c r="J30" s="119">
        <v>0</v>
      </c>
      <c r="K30" s="119">
        <v>0</v>
      </c>
      <c r="L30" s="181">
        <f t="shared" si="1"/>
        <v>0</v>
      </c>
    </row>
    <row r="31" spans="1:12" ht="15" customHeight="1">
      <c r="A31" s="179">
        <v>25</v>
      </c>
      <c r="B31" s="121" t="s">
        <v>297</v>
      </c>
      <c r="C31" s="119">
        <v>125</v>
      </c>
      <c r="D31" s="119">
        <v>435.81</v>
      </c>
      <c r="E31" s="119">
        <v>0</v>
      </c>
      <c r="F31" s="119">
        <v>0</v>
      </c>
      <c r="G31" s="120">
        <f t="shared" si="0"/>
        <v>0</v>
      </c>
      <c r="H31" s="119">
        <v>107</v>
      </c>
      <c r="I31" s="119">
        <v>337.95</v>
      </c>
      <c r="J31" s="119">
        <v>0</v>
      </c>
      <c r="K31" s="119">
        <v>0</v>
      </c>
      <c r="L31" s="181">
        <f t="shared" si="1"/>
        <v>0</v>
      </c>
    </row>
    <row r="32" spans="1:12" ht="13.5">
      <c r="A32" s="179">
        <v>26</v>
      </c>
      <c r="B32" s="180" t="s">
        <v>298</v>
      </c>
      <c r="C32" s="119">
        <v>759</v>
      </c>
      <c r="D32" s="119">
        <v>2920.9</v>
      </c>
      <c r="E32" s="119">
        <v>293</v>
      </c>
      <c r="F32" s="119">
        <v>687.86</v>
      </c>
      <c r="G32" s="120">
        <f t="shared" si="0"/>
        <v>23.549590879523432</v>
      </c>
      <c r="H32" s="119">
        <v>650</v>
      </c>
      <c r="I32" s="119">
        <v>2264.98</v>
      </c>
      <c r="J32" s="119">
        <v>253</v>
      </c>
      <c r="K32" s="119">
        <v>619.39</v>
      </c>
      <c r="L32" s="181">
        <f t="shared" si="1"/>
        <v>27.34637833446653</v>
      </c>
    </row>
    <row r="33" spans="1:12" ht="15" customHeight="1">
      <c r="A33" s="179">
        <v>27</v>
      </c>
      <c r="B33" s="180" t="s">
        <v>72</v>
      </c>
      <c r="C33" s="125">
        <v>579118</v>
      </c>
      <c r="D33" s="125">
        <v>1846958.41</v>
      </c>
      <c r="E33" s="125">
        <v>146222</v>
      </c>
      <c r="F33" s="125">
        <v>281884</v>
      </c>
      <c r="G33" s="120">
        <f t="shared" si="0"/>
        <v>15.262065375906326</v>
      </c>
      <c r="H33" s="125">
        <v>496258</v>
      </c>
      <c r="I33" s="125">
        <v>1432213.84</v>
      </c>
      <c r="J33" s="125">
        <v>112097</v>
      </c>
      <c r="K33" s="125">
        <v>234619</v>
      </c>
      <c r="L33" s="181">
        <f t="shared" si="1"/>
        <v>16.381562127621947</v>
      </c>
    </row>
    <row r="34" spans="1:13" s="195" customFormat="1" ht="15" customHeight="1">
      <c r="A34" s="182"/>
      <c r="B34" s="183" t="s">
        <v>299</v>
      </c>
      <c r="C34" s="124">
        <f>SUM(C28:C33)</f>
        <v>580416</v>
      </c>
      <c r="D34" s="124">
        <f aca="true" t="shared" si="3" ref="D34:K34">SUM(D28:D33)</f>
        <v>1851302.7</v>
      </c>
      <c r="E34" s="124">
        <f t="shared" si="3"/>
        <v>146515</v>
      </c>
      <c r="F34" s="124">
        <f t="shared" si="3"/>
        <v>282571.86</v>
      </c>
      <c r="G34" s="120">
        <f t="shared" si="0"/>
        <v>15.26340668114404</v>
      </c>
      <c r="H34" s="124">
        <f t="shared" si="3"/>
        <v>497370</v>
      </c>
      <c r="I34" s="124">
        <f t="shared" si="3"/>
        <v>1435582.59</v>
      </c>
      <c r="J34" s="124">
        <f t="shared" si="3"/>
        <v>112350</v>
      </c>
      <c r="K34" s="124">
        <f t="shared" si="3"/>
        <v>235238.39</v>
      </c>
      <c r="L34" s="181">
        <f t="shared" si="1"/>
        <v>16.386266567916515</v>
      </c>
      <c r="M34" s="192"/>
    </row>
    <row r="35" spans="1:12" ht="15" customHeight="1">
      <c r="A35" s="179">
        <v>28</v>
      </c>
      <c r="B35" s="180" t="s">
        <v>49</v>
      </c>
      <c r="C35" s="119">
        <v>22872</v>
      </c>
      <c r="D35" s="119">
        <v>65152.83</v>
      </c>
      <c r="E35" s="119">
        <v>13705</v>
      </c>
      <c r="F35" s="119">
        <v>9314.8</v>
      </c>
      <c r="G35" s="120">
        <f t="shared" si="0"/>
        <v>14.296846353412429</v>
      </c>
      <c r="H35" s="119">
        <v>19599</v>
      </c>
      <c r="I35" s="119">
        <v>50522.4</v>
      </c>
      <c r="J35" s="119">
        <v>260</v>
      </c>
      <c r="K35" s="119">
        <v>943.22</v>
      </c>
      <c r="L35" s="181">
        <f t="shared" si="1"/>
        <v>1.8669342707393155</v>
      </c>
    </row>
    <row r="36" spans="1:12" ht="15" customHeight="1">
      <c r="A36" s="179">
        <v>29</v>
      </c>
      <c r="B36" s="180" t="s">
        <v>53</v>
      </c>
      <c r="C36" s="119">
        <v>0</v>
      </c>
      <c r="D36" s="119">
        <v>0</v>
      </c>
      <c r="E36" s="119">
        <v>0</v>
      </c>
      <c r="F36" s="119">
        <v>0</v>
      </c>
      <c r="G36" s="120">
        <v>0</v>
      </c>
      <c r="H36" s="119">
        <v>0</v>
      </c>
      <c r="I36" s="119">
        <v>0</v>
      </c>
      <c r="J36" s="119">
        <v>0</v>
      </c>
      <c r="K36" s="119">
        <v>0</v>
      </c>
      <c r="L36" s="181">
        <v>0</v>
      </c>
    </row>
    <row r="37" spans="1:12" ht="15" customHeight="1">
      <c r="A37" s="179">
        <v>30</v>
      </c>
      <c r="B37" s="180" t="s">
        <v>300</v>
      </c>
      <c r="C37" s="119">
        <v>401</v>
      </c>
      <c r="D37" s="119">
        <v>873.08</v>
      </c>
      <c r="E37" s="119">
        <v>0</v>
      </c>
      <c r="F37" s="119">
        <v>0</v>
      </c>
      <c r="G37" s="120">
        <f t="shared" si="0"/>
        <v>0</v>
      </c>
      <c r="H37" s="119">
        <v>344</v>
      </c>
      <c r="I37" s="119">
        <v>677.02</v>
      </c>
      <c r="J37" s="119">
        <v>0</v>
      </c>
      <c r="K37" s="119">
        <v>0</v>
      </c>
      <c r="L37" s="181">
        <f t="shared" si="1"/>
        <v>0</v>
      </c>
    </row>
    <row r="38" spans="1:12" ht="15" customHeight="1">
      <c r="A38" s="179">
        <v>31</v>
      </c>
      <c r="B38" s="180" t="s">
        <v>301</v>
      </c>
      <c r="C38" s="119">
        <v>28</v>
      </c>
      <c r="D38" s="119">
        <v>126.06</v>
      </c>
      <c r="E38" s="119">
        <v>0</v>
      </c>
      <c r="F38" s="119">
        <v>0</v>
      </c>
      <c r="G38" s="120">
        <f t="shared" si="0"/>
        <v>0</v>
      </c>
      <c r="H38" s="119">
        <v>24</v>
      </c>
      <c r="I38" s="119">
        <v>97.75</v>
      </c>
      <c r="J38" s="119">
        <v>0</v>
      </c>
      <c r="K38" s="119">
        <v>0</v>
      </c>
      <c r="L38" s="181">
        <f t="shared" si="1"/>
        <v>0</v>
      </c>
    </row>
    <row r="39" spans="1:12" ht="15" customHeight="1">
      <c r="A39" s="179">
        <v>32</v>
      </c>
      <c r="B39" s="180" t="s">
        <v>302</v>
      </c>
      <c r="C39" s="119">
        <v>672</v>
      </c>
      <c r="D39" s="119">
        <v>2736.89</v>
      </c>
      <c r="E39" s="119">
        <v>528</v>
      </c>
      <c r="F39" s="119">
        <v>1436.54</v>
      </c>
      <c r="G39" s="120">
        <f t="shared" si="0"/>
        <v>52.48804299770908</v>
      </c>
      <c r="H39" s="119">
        <v>576</v>
      </c>
      <c r="I39" s="119">
        <v>2122.32</v>
      </c>
      <c r="J39" s="119">
        <v>522</v>
      </c>
      <c r="K39" s="119">
        <v>627.94</v>
      </c>
      <c r="L39" s="181">
        <f t="shared" si="1"/>
        <v>29.587432620905425</v>
      </c>
    </row>
    <row r="40" spans="1:12" ht="15" customHeight="1">
      <c r="A40" s="179">
        <v>33</v>
      </c>
      <c r="B40" s="180" t="s">
        <v>303</v>
      </c>
      <c r="C40" s="119">
        <v>29526</v>
      </c>
      <c r="D40" s="119">
        <v>110428.58</v>
      </c>
      <c r="E40" s="119">
        <v>10971</v>
      </c>
      <c r="F40" s="119">
        <v>37755.730014</v>
      </c>
      <c r="G40" s="120">
        <f t="shared" si="0"/>
        <v>34.190179765057195</v>
      </c>
      <c r="H40" s="119">
        <v>25301</v>
      </c>
      <c r="I40" s="119">
        <v>85631.24</v>
      </c>
      <c r="J40" s="119">
        <v>4545</v>
      </c>
      <c r="K40" s="119">
        <v>25971.676946999985</v>
      </c>
      <c r="L40" s="181">
        <f t="shared" si="1"/>
        <v>30.32967518279542</v>
      </c>
    </row>
    <row r="41" spans="1:12" ht="15" customHeight="1">
      <c r="A41" s="179">
        <v>34</v>
      </c>
      <c r="B41" s="180" t="s">
        <v>304</v>
      </c>
      <c r="C41" s="119">
        <v>30885</v>
      </c>
      <c r="D41" s="119">
        <v>105493.41</v>
      </c>
      <c r="E41" s="119">
        <v>42569.085</v>
      </c>
      <c r="F41" s="119">
        <v>74858.441185161</v>
      </c>
      <c r="G41" s="120">
        <f t="shared" si="0"/>
        <v>70.96030091847538</v>
      </c>
      <c r="H41" s="119">
        <v>26466</v>
      </c>
      <c r="I41" s="119">
        <v>81804.3</v>
      </c>
      <c r="J41" s="119">
        <v>2395</v>
      </c>
      <c r="K41" s="119">
        <v>2306.9429945</v>
      </c>
      <c r="L41" s="181">
        <f t="shared" si="1"/>
        <v>2.8200754660818563</v>
      </c>
    </row>
    <row r="42" spans="1:12" ht="15" customHeight="1">
      <c r="A42" s="179">
        <v>35</v>
      </c>
      <c r="B42" s="180" t="s">
        <v>305</v>
      </c>
      <c r="C42" s="119">
        <v>2517</v>
      </c>
      <c r="D42" s="119">
        <v>5912.73</v>
      </c>
      <c r="E42" s="119">
        <v>1501</v>
      </c>
      <c r="F42" s="119">
        <v>2916</v>
      </c>
      <c r="G42" s="120">
        <f t="shared" si="0"/>
        <v>49.31732042559021</v>
      </c>
      <c r="H42" s="119">
        <v>2157</v>
      </c>
      <c r="I42" s="119">
        <v>4585</v>
      </c>
      <c r="J42" s="119">
        <v>0</v>
      </c>
      <c r="K42" s="119">
        <v>0</v>
      </c>
      <c r="L42" s="181">
        <f t="shared" si="1"/>
        <v>0</v>
      </c>
    </row>
    <row r="43" spans="1:12" ht="15" customHeight="1">
      <c r="A43" s="179">
        <v>36</v>
      </c>
      <c r="B43" s="180" t="s">
        <v>255</v>
      </c>
      <c r="C43" s="119">
        <v>695</v>
      </c>
      <c r="D43" s="119">
        <v>516.98</v>
      </c>
      <c r="E43" s="119">
        <v>3485</v>
      </c>
      <c r="F43" s="119">
        <v>1254</v>
      </c>
      <c r="G43" s="120">
        <f t="shared" si="0"/>
        <v>242.5625749545437</v>
      </c>
      <c r="H43" s="119">
        <v>652</v>
      </c>
      <c r="I43" s="119">
        <v>387.1</v>
      </c>
      <c r="J43" s="119">
        <v>0</v>
      </c>
      <c r="K43" s="119">
        <v>0</v>
      </c>
      <c r="L43" s="181">
        <f t="shared" si="1"/>
        <v>0</v>
      </c>
    </row>
    <row r="44" spans="1:12" ht="15" customHeight="1">
      <c r="A44" s="179">
        <v>37</v>
      </c>
      <c r="B44" s="180" t="s">
        <v>306</v>
      </c>
      <c r="C44" s="119">
        <v>74</v>
      </c>
      <c r="D44" s="119">
        <v>319.68</v>
      </c>
      <c r="E44" s="119">
        <v>4</v>
      </c>
      <c r="F44" s="119">
        <v>20</v>
      </c>
      <c r="G44" s="120">
        <f t="shared" si="0"/>
        <v>6.256256256256256</v>
      </c>
      <c r="H44" s="119">
        <v>63</v>
      </c>
      <c r="I44" s="119">
        <v>247.9</v>
      </c>
      <c r="J44" s="119">
        <v>0</v>
      </c>
      <c r="K44" s="119">
        <v>0</v>
      </c>
      <c r="L44" s="181">
        <f t="shared" si="1"/>
        <v>0</v>
      </c>
    </row>
    <row r="45" spans="1:12" ht="15" customHeight="1">
      <c r="A45" s="179">
        <v>38</v>
      </c>
      <c r="B45" s="180" t="s">
        <v>307</v>
      </c>
      <c r="C45" s="119">
        <v>384</v>
      </c>
      <c r="D45" s="119">
        <v>1107.02</v>
      </c>
      <c r="E45" s="119">
        <v>88</v>
      </c>
      <c r="F45" s="119">
        <v>832</v>
      </c>
      <c r="G45" s="120">
        <f t="shared" si="0"/>
        <v>75.15672706906831</v>
      </c>
      <c r="H45" s="119">
        <v>329</v>
      </c>
      <c r="I45" s="119">
        <v>858.44</v>
      </c>
      <c r="J45" s="119">
        <v>25</v>
      </c>
      <c r="K45" s="119">
        <v>36</v>
      </c>
      <c r="L45" s="181">
        <f t="shared" si="1"/>
        <v>4.193653604212292</v>
      </c>
    </row>
    <row r="46" spans="1:12" ht="15" customHeight="1">
      <c r="A46" s="179">
        <v>39</v>
      </c>
      <c r="B46" s="180" t="s">
        <v>95</v>
      </c>
      <c r="C46" s="119">
        <v>0</v>
      </c>
      <c r="D46" s="119">
        <v>0</v>
      </c>
      <c r="E46" s="119">
        <v>0</v>
      </c>
      <c r="F46" s="119">
        <v>0</v>
      </c>
      <c r="G46" s="120">
        <v>0</v>
      </c>
      <c r="H46" s="119">
        <v>0</v>
      </c>
      <c r="I46" s="119">
        <v>0</v>
      </c>
      <c r="J46" s="119">
        <v>0</v>
      </c>
      <c r="K46" s="119">
        <v>0</v>
      </c>
      <c r="L46" s="181">
        <v>0</v>
      </c>
    </row>
    <row r="47" spans="1:12" ht="15" customHeight="1">
      <c r="A47" s="179">
        <v>40</v>
      </c>
      <c r="B47" s="180" t="s">
        <v>308</v>
      </c>
      <c r="C47" s="119">
        <v>4802</v>
      </c>
      <c r="D47" s="119">
        <v>19800.97</v>
      </c>
      <c r="E47" s="119">
        <v>0</v>
      </c>
      <c r="F47" s="119">
        <v>0</v>
      </c>
      <c r="G47" s="120">
        <f t="shared" si="0"/>
        <v>0</v>
      </c>
      <c r="H47" s="119">
        <v>4115</v>
      </c>
      <c r="I47" s="119">
        <v>15354.56</v>
      </c>
      <c r="J47" s="119">
        <v>0</v>
      </c>
      <c r="K47" s="119">
        <v>0</v>
      </c>
      <c r="L47" s="181">
        <f t="shared" si="1"/>
        <v>0</v>
      </c>
    </row>
    <row r="48" spans="1:12" ht="15" customHeight="1">
      <c r="A48" s="179">
        <v>41</v>
      </c>
      <c r="B48" s="180" t="s">
        <v>309</v>
      </c>
      <c r="C48" s="119">
        <v>0</v>
      </c>
      <c r="D48" s="119">
        <v>0</v>
      </c>
      <c r="E48" s="119">
        <v>0</v>
      </c>
      <c r="F48" s="119">
        <v>0</v>
      </c>
      <c r="G48" s="120">
        <v>0</v>
      </c>
      <c r="H48" s="119">
        <v>0</v>
      </c>
      <c r="I48" s="119">
        <v>0</v>
      </c>
      <c r="J48" s="119">
        <v>0</v>
      </c>
      <c r="K48" s="119">
        <v>0</v>
      </c>
      <c r="L48" s="181">
        <v>0</v>
      </c>
    </row>
    <row r="49" spans="1:12" ht="15" customHeight="1">
      <c r="A49" s="179">
        <v>42</v>
      </c>
      <c r="B49" s="180" t="s">
        <v>310</v>
      </c>
      <c r="C49" s="119">
        <v>28</v>
      </c>
      <c r="D49" s="119">
        <v>126.06</v>
      </c>
      <c r="E49" s="119">
        <v>0</v>
      </c>
      <c r="F49" s="119">
        <v>0</v>
      </c>
      <c r="G49" s="120">
        <f t="shared" si="0"/>
        <v>0</v>
      </c>
      <c r="H49" s="119">
        <v>24</v>
      </c>
      <c r="I49" s="119">
        <v>97.75</v>
      </c>
      <c r="J49" s="119">
        <v>0</v>
      </c>
      <c r="K49" s="119">
        <v>0</v>
      </c>
      <c r="L49" s="181">
        <f t="shared" si="1"/>
        <v>0</v>
      </c>
    </row>
    <row r="50" spans="1:12" ht="15" customHeight="1">
      <c r="A50" s="179">
        <v>43</v>
      </c>
      <c r="B50" s="180" t="s">
        <v>311</v>
      </c>
      <c r="C50" s="119">
        <v>527</v>
      </c>
      <c r="D50" s="119">
        <v>1179.51</v>
      </c>
      <c r="E50" s="119">
        <v>1357</v>
      </c>
      <c r="F50" s="119">
        <v>3861.0998159</v>
      </c>
      <c r="G50" s="120">
        <f t="shared" si="0"/>
        <v>327.34778135836063</v>
      </c>
      <c r="H50" s="119">
        <v>451</v>
      </c>
      <c r="I50" s="119">
        <v>914.64</v>
      </c>
      <c r="J50" s="119">
        <v>1335</v>
      </c>
      <c r="K50" s="119">
        <v>2720.0208567</v>
      </c>
      <c r="L50" s="181">
        <f t="shared" si="1"/>
        <v>297.3870437221202</v>
      </c>
    </row>
    <row r="51" spans="1:12" ht="15" customHeight="1">
      <c r="A51" s="179">
        <v>44</v>
      </c>
      <c r="B51" s="180" t="s">
        <v>78</v>
      </c>
      <c r="C51" s="119">
        <v>1199</v>
      </c>
      <c r="D51" s="119">
        <v>3197.06</v>
      </c>
      <c r="E51" s="119">
        <v>0</v>
      </c>
      <c r="F51" s="119">
        <v>0</v>
      </c>
      <c r="G51" s="120">
        <f t="shared" si="0"/>
        <v>0</v>
      </c>
      <c r="H51" s="119">
        <v>1028</v>
      </c>
      <c r="I51" s="119">
        <v>2479.14</v>
      </c>
      <c r="J51" s="119">
        <v>0</v>
      </c>
      <c r="K51" s="119">
        <v>0</v>
      </c>
      <c r="L51" s="181">
        <f t="shared" si="1"/>
        <v>0</v>
      </c>
    </row>
    <row r="52" spans="1:13" s="195" customFormat="1" ht="13.5">
      <c r="A52" s="183"/>
      <c r="B52" s="183" t="s">
        <v>274</v>
      </c>
      <c r="C52" s="124">
        <f>SUM(C35:C51)</f>
        <v>94610</v>
      </c>
      <c r="D52" s="124">
        <f aca="true" t="shared" si="4" ref="D52:K52">SUM(D35:D51)</f>
        <v>316970.86</v>
      </c>
      <c r="E52" s="124">
        <f t="shared" si="4"/>
        <v>74208.08499999999</v>
      </c>
      <c r="F52" s="124">
        <f t="shared" si="4"/>
        <v>132248.611015061</v>
      </c>
      <c r="G52" s="120">
        <f t="shared" si="0"/>
        <v>41.722640060686025</v>
      </c>
      <c r="H52" s="124">
        <f t="shared" si="4"/>
        <v>81129</v>
      </c>
      <c r="I52" s="124">
        <f t="shared" si="4"/>
        <v>245779.56000000006</v>
      </c>
      <c r="J52" s="124">
        <f t="shared" si="4"/>
        <v>9082</v>
      </c>
      <c r="K52" s="124">
        <f t="shared" si="4"/>
        <v>32605.800798199987</v>
      </c>
      <c r="L52" s="181">
        <f t="shared" si="1"/>
        <v>13.266278448134573</v>
      </c>
      <c r="M52" s="192"/>
    </row>
    <row r="53" spans="1:12" ht="15" customHeight="1">
      <c r="A53" s="179">
        <v>45</v>
      </c>
      <c r="B53" s="180" t="s">
        <v>48</v>
      </c>
      <c r="C53" s="119">
        <v>77034</v>
      </c>
      <c r="D53" s="119">
        <v>272593.48</v>
      </c>
      <c r="E53" s="119">
        <v>40002</v>
      </c>
      <c r="F53" s="119">
        <v>62198</v>
      </c>
      <c r="G53" s="120">
        <f t="shared" si="0"/>
        <v>22.817126807288275</v>
      </c>
      <c r="H53" s="119">
        <v>62516.02932872225</v>
      </c>
      <c r="I53" s="119">
        <v>204064.77</v>
      </c>
      <c r="J53" s="119">
        <v>39785</v>
      </c>
      <c r="K53" s="119">
        <v>61860</v>
      </c>
      <c r="L53" s="181">
        <f t="shared" si="1"/>
        <v>30.313904747007534</v>
      </c>
    </row>
    <row r="54" spans="1:12" ht="15" customHeight="1">
      <c r="A54" s="179">
        <v>46</v>
      </c>
      <c r="B54" s="180" t="s">
        <v>269</v>
      </c>
      <c r="C54" s="119">
        <f>144402-1800</f>
        <v>142602</v>
      </c>
      <c r="D54" s="119">
        <f>257917.7+12000</f>
        <v>269917.7</v>
      </c>
      <c r="E54" s="119">
        <v>91666</v>
      </c>
      <c r="F54" s="119">
        <v>42902</v>
      </c>
      <c r="G54" s="120">
        <f t="shared" si="0"/>
        <v>15.894474500931208</v>
      </c>
      <c r="H54" s="119">
        <f>135669-12584</f>
        <v>123085</v>
      </c>
      <c r="I54" s="119">
        <v>228893.73</v>
      </c>
      <c r="J54" s="119">
        <v>91576</v>
      </c>
      <c r="K54" s="119">
        <v>42878</v>
      </c>
      <c r="L54" s="181">
        <f t="shared" si="1"/>
        <v>18.73271059019397</v>
      </c>
    </row>
    <row r="55" spans="1:12" ht="15" customHeight="1">
      <c r="A55" s="179">
        <v>47</v>
      </c>
      <c r="B55" s="180" t="s">
        <v>54</v>
      </c>
      <c r="C55" s="119">
        <f>110333.042837079-1848</f>
        <v>108485.042837079</v>
      </c>
      <c r="D55" s="119">
        <f>400093.97+12037</f>
        <v>412130.97</v>
      </c>
      <c r="E55" s="119">
        <v>65852</v>
      </c>
      <c r="F55" s="119">
        <v>101368.74</v>
      </c>
      <c r="G55" s="120">
        <f t="shared" si="0"/>
        <v>24.596244247308086</v>
      </c>
      <c r="H55" s="119">
        <v>95573</v>
      </c>
      <c r="I55" s="119">
        <f>338748.6-31435</f>
        <v>307313.6</v>
      </c>
      <c r="J55" s="119">
        <v>65852</v>
      </c>
      <c r="K55" s="119">
        <v>101368.74</v>
      </c>
      <c r="L55" s="181">
        <f t="shared" si="1"/>
        <v>32.98543897829449</v>
      </c>
    </row>
    <row r="56" spans="1:13" s="202" customFormat="1" ht="13.5">
      <c r="A56" s="126"/>
      <c r="B56" s="82" t="s">
        <v>270</v>
      </c>
      <c r="C56" s="127">
        <f>SUM(C53:C55)</f>
        <v>328121.04283707903</v>
      </c>
      <c r="D56" s="127">
        <f aca="true" t="shared" si="5" ref="D56:K56">SUM(D53:D55)</f>
        <v>954642.1499999999</v>
      </c>
      <c r="E56" s="127">
        <f t="shared" si="5"/>
        <v>197520</v>
      </c>
      <c r="F56" s="127">
        <f t="shared" si="5"/>
        <v>206468.74</v>
      </c>
      <c r="G56" s="128">
        <f t="shared" si="0"/>
        <v>21.62786757320531</v>
      </c>
      <c r="H56" s="127">
        <f t="shared" si="5"/>
        <v>281174.0293287223</v>
      </c>
      <c r="I56" s="127">
        <f t="shared" si="5"/>
        <v>740272.1</v>
      </c>
      <c r="J56" s="127">
        <f t="shared" si="5"/>
        <v>197213</v>
      </c>
      <c r="K56" s="127">
        <f t="shared" si="5"/>
        <v>206106.74</v>
      </c>
      <c r="L56" s="129">
        <f t="shared" si="1"/>
        <v>27.842024574477414</v>
      </c>
      <c r="M56" s="165"/>
    </row>
    <row r="57" spans="1:12" ht="13.5">
      <c r="A57" s="179">
        <v>48</v>
      </c>
      <c r="B57" s="180" t="s">
        <v>312</v>
      </c>
      <c r="C57" s="119">
        <v>665523</v>
      </c>
      <c r="D57" s="119">
        <v>1996110.99</v>
      </c>
      <c r="E57" s="119">
        <f>J57+146</f>
        <v>1462195</v>
      </c>
      <c r="F57" s="119">
        <v>563049</v>
      </c>
      <c r="G57" s="120">
        <f t="shared" si="0"/>
        <v>28.207299234397784</v>
      </c>
      <c r="H57" s="119">
        <v>582311</v>
      </c>
      <c r="I57" s="119">
        <v>1512286.55</v>
      </c>
      <c r="J57" s="119">
        <v>1462049</v>
      </c>
      <c r="K57" s="119">
        <v>562931</v>
      </c>
      <c r="L57" s="181">
        <f t="shared" si="1"/>
        <v>37.223831687189175</v>
      </c>
    </row>
    <row r="58" spans="1:13" s="195" customFormat="1" ht="13.5">
      <c r="A58" s="183"/>
      <c r="B58" s="183" t="s">
        <v>275</v>
      </c>
      <c r="C58" s="124">
        <f>C57</f>
        <v>665523</v>
      </c>
      <c r="D58" s="124">
        <f aca="true" t="shared" si="6" ref="D58:K58">D57</f>
        <v>1996110.99</v>
      </c>
      <c r="E58" s="124">
        <f t="shared" si="6"/>
        <v>1462195</v>
      </c>
      <c r="F58" s="124">
        <f t="shared" si="6"/>
        <v>563049</v>
      </c>
      <c r="G58" s="120">
        <f t="shared" si="0"/>
        <v>28.207299234397784</v>
      </c>
      <c r="H58" s="124">
        <f t="shared" si="6"/>
        <v>582311</v>
      </c>
      <c r="I58" s="124">
        <f t="shared" si="6"/>
        <v>1512286.55</v>
      </c>
      <c r="J58" s="124">
        <f t="shared" si="6"/>
        <v>1462049</v>
      </c>
      <c r="K58" s="124">
        <f t="shared" si="6"/>
        <v>562931</v>
      </c>
      <c r="L58" s="181">
        <f t="shared" si="1"/>
        <v>37.223831687189175</v>
      </c>
      <c r="M58" s="192"/>
    </row>
    <row r="59" spans="1:13" s="195" customFormat="1" ht="13.5">
      <c r="A59" s="183"/>
      <c r="B59" s="183" t="s">
        <v>276</v>
      </c>
      <c r="C59" s="124">
        <f>C58+C56+C52+C34+C27</f>
        <v>2480508.042837079</v>
      </c>
      <c r="D59" s="124">
        <f aca="true" t="shared" si="7" ref="D59:K59">D58+D56+D52+D34+D27</f>
        <v>7592695.209999999</v>
      </c>
      <c r="E59" s="124">
        <f t="shared" si="7"/>
        <v>2282065.085</v>
      </c>
      <c r="F59" s="124">
        <f t="shared" si="7"/>
        <v>1814634.859456461</v>
      </c>
      <c r="G59" s="120">
        <f t="shared" si="0"/>
        <v>23.899745864505224</v>
      </c>
      <c r="H59" s="124">
        <f t="shared" si="7"/>
        <v>2137653.0293287225</v>
      </c>
      <c r="I59" s="124">
        <f t="shared" si="7"/>
        <v>5852094.25</v>
      </c>
      <c r="J59" s="124">
        <f t="shared" si="7"/>
        <v>2131621</v>
      </c>
      <c r="K59" s="124">
        <f t="shared" si="7"/>
        <v>1530275.6307982</v>
      </c>
      <c r="L59" s="181">
        <f t="shared" si="1"/>
        <v>26.149196602535916</v>
      </c>
      <c r="M59" s="192"/>
    </row>
  </sheetData>
  <sheetProtection/>
  <mergeCells count="11">
    <mergeCell ref="C4:D4"/>
    <mergeCell ref="H3:K3"/>
    <mergeCell ref="B3:B5"/>
    <mergeCell ref="A1:L1"/>
    <mergeCell ref="H4:I4"/>
    <mergeCell ref="G3:G5"/>
    <mergeCell ref="E4:F4"/>
    <mergeCell ref="J4:K4"/>
    <mergeCell ref="A3:A5"/>
    <mergeCell ref="L3:L5"/>
    <mergeCell ref="C3:F3"/>
  </mergeCells>
  <conditionalFormatting sqref="F16 H16:I16">
    <cfRule type="duplicateValues" priority="2" dxfId="197">
      <formula>AND(COUNTIF($F$16:$F$16,F16)+COUNTIF($H$16:$I$16,F16)&gt;1,NOT(ISBLANK(F16)))</formula>
    </cfRule>
  </conditionalFormatting>
  <conditionalFormatting sqref="B6">
    <cfRule type="duplicateValues" priority="3" dxfId="197">
      <formula>AND(COUNTIF($B$6:$B$6,B6)&gt;1,NOT(ISBLANK(B6)))</formula>
    </cfRule>
  </conditionalFormatting>
  <conditionalFormatting sqref="B22">
    <cfRule type="duplicateValues" priority="4" dxfId="197">
      <formula>AND(COUNTIF($B$22:$B$22,B22)&gt;1,NOT(ISBLANK(B22)))</formula>
    </cfRule>
  </conditionalFormatting>
  <conditionalFormatting sqref="B33:B34 B26:B30">
    <cfRule type="duplicateValues" priority="5" dxfId="197">
      <formula>AND(COUNTIF($B$33:$B$34,B26)+COUNTIF($B$26:$B$30,B26)&gt;1,NOT(ISBLANK(B26)))</formula>
    </cfRule>
  </conditionalFormatting>
  <conditionalFormatting sqref="B52">
    <cfRule type="duplicateValues" priority="6" dxfId="197">
      <formula>AND(COUNTIF($B$52:$B$52,B52)&gt;1,NOT(ISBLANK(B52)))</formula>
    </cfRule>
  </conditionalFormatting>
  <conditionalFormatting sqref="B56">
    <cfRule type="duplicateValues" priority="7" dxfId="197">
      <formula>AND(COUNTIF($B$56:$B$56,B56)&gt;1,NOT(ISBLANK(B56)))</formula>
    </cfRule>
  </conditionalFormatting>
  <conditionalFormatting sqref="B58">
    <cfRule type="duplicateValues" priority="8" dxfId="197">
      <formula>AND(COUNTIF($B$58:$B$58,B58)&gt;1,NOT(ISBLANK(B58)))</formula>
    </cfRule>
  </conditionalFormatting>
  <conditionalFormatting sqref="L2:L65536">
    <cfRule type="cellIs" priority="1" dxfId="198" operator="greaterThan" stopIfTrue="1">
      <formula>50</formula>
    </cfRule>
  </conditionalFormatting>
  <printOptions/>
  <pageMargins left="0.75" right="0.25" top="0.25" bottom="0.25" header="0.05" footer="0.3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R65"/>
  <sheetViews>
    <sheetView view="pageBreakPreview" zoomScale="60"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7" sqref="D37"/>
    </sheetView>
  </sheetViews>
  <sheetFormatPr defaultColWidth="4.421875" defaultRowHeight="12.75"/>
  <cols>
    <col min="1" max="1" width="4.421875" style="192" customWidth="1"/>
    <col min="2" max="2" width="21.140625" style="192" customWidth="1"/>
    <col min="3" max="3" width="9.140625" style="198" bestFit="1" customWidth="1"/>
    <col min="4" max="4" width="10.140625" style="198" bestFit="1" customWidth="1"/>
    <col min="5" max="5" width="8.7109375" style="198" bestFit="1" customWidth="1"/>
    <col min="6" max="6" width="10.140625" style="198" customWidth="1"/>
    <col min="7" max="7" width="9.28125" style="200" customWidth="1"/>
    <col min="8" max="8" width="8.7109375" style="198" bestFit="1" customWidth="1"/>
    <col min="9" max="9" width="8.8515625" style="198" customWidth="1"/>
    <col min="10" max="10" width="8.7109375" style="198" bestFit="1" customWidth="1"/>
    <col min="11" max="11" width="9.140625" style="198" bestFit="1" customWidth="1"/>
    <col min="12" max="12" width="9.57421875" style="200" customWidth="1"/>
    <col min="13" max="13" width="11.28125" style="198" bestFit="1" customWidth="1"/>
    <col min="14" max="14" width="11.8515625" style="198" bestFit="1" customWidth="1"/>
    <col min="15" max="15" width="11.28125" style="198" bestFit="1" customWidth="1"/>
    <col min="16" max="16" width="11.140625" style="198" bestFit="1" customWidth="1"/>
    <col min="17" max="17" width="9.140625" style="200" customWidth="1"/>
    <col min="18" max="18" width="8.00390625" style="192" bestFit="1" customWidth="1"/>
    <col min="19" max="19" width="9.00390625" style="192" bestFit="1" customWidth="1"/>
    <col min="20" max="16384" width="4.421875" style="192" customWidth="1"/>
  </cols>
  <sheetData>
    <row r="1" spans="1:16" ht="15" customHeight="1">
      <c r="A1" s="585" t="s">
        <v>176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</row>
    <row r="2" spans="2:14" ht="15" customHeight="1">
      <c r="B2" s="195" t="s">
        <v>141</v>
      </c>
      <c r="C2" s="197"/>
      <c r="D2" s="197"/>
      <c r="F2" s="198" t="s">
        <v>161</v>
      </c>
      <c r="I2" s="197" t="s">
        <v>185</v>
      </c>
      <c r="J2" s="197"/>
      <c r="K2" s="197"/>
      <c r="L2" s="199"/>
      <c r="M2" s="197"/>
      <c r="N2" s="197"/>
    </row>
    <row r="3" spans="1:18" ht="34.5" customHeight="1">
      <c r="A3" s="584" t="s">
        <v>124</v>
      </c>
      <c r="B3" s="584" t="s">
        <v>102</v>
      </c>
      <c r="C3" s="584" t="s">
        <v>182</v>
      </c>
      <c r="D3" s="584"/>
      <c r="E3" s="584"/>
      <c r="F3" s="584"/>
      <c r="G3" s="584"/>
      <c r="H3" s="584" t="s">
        <v>183</v>
      </c>
      <c r="I3" s="584"/>
      <c r="J3" s="584"/>
      <c r="K3" s="584"/>
      <c r="L3" s="584"/>
      <c r="M3" s="588" t="s">
        <v>184</v>
      </c>
      <c r="N3" s="589"/>
      <c r="O3" s="589"/>
      <c r="P3" s="589"/>
      <c r="Q3" s="590"/>
      <c r="R3" s="193"/>
    </row>
    <row r="4" spans="1:18" ht="24.75" customHeight="1">
      <c r="A4" s="584"/>
      <c r="B4" s="584"/>
      <c r="C4" s="583" t="s">
        <v>21</v>
      </c>
      <c r="D4" s="583"/>
      <c r="E4" s="583" t="s">
        <v>181</v>
      </c>
      <c r="F4" s="583"/>
      <c r="G4" s="586" t="s">
        <v>178</v>
      </c>
      <c r="H4" s="583" t="s">
        <v>21</v>
      </c>
      <c r="I4" s="583"/>
      <c r="J4" s="583" t="s">
        <v>181</v>
      </c>
      <c r="K4" s="583"/>
      <c r="L4" s="586" t="s">
        <v>178</v>
      </c>
      <c r="M4" s="583" t="s">
        <v>21</v>
      </c>
      <c r="N4" s="583"/>
      <c r="O4" s="583" t="s">
        <v>181</v>
      </c>
      <c r="P4" s="583"/>
      <c r="Q4" s="586" t="s">
        <v>178</v>
      </c>
      <c r="R4" s="193"/>
    </row>
    <row r="5" spans="1:18" ht="15" customHeight="1">
      <c r="A5" s="584"/>
      <c r="B5" s="584"/>
      <c r="C5" s="201" t="s">
        <v>30</v>
      </c>
      <c r="D5" s="201" t="s">
        <v>17</v>
      </c>
      <c r="E5" s="201" t="s">
        <v>30</v>
      </c>
      <c r="F5" s="201" t="s">
        <v>17</v>
      </c>
      <c r="G5" s="586"/>
      <c r="H5" s="201" t="s">
        <v>30</v>
      </c>
      <c r="I5" s="201" t="s">
        <v>17</v>
      </c>
      <c r="J5" s="201" t="s">
        <v>30</v>
      </c>
      <c r="K5" s="201" t="s">
        <v>17</v>
      </c>
      <c r="L5" s="586"/>
      <c r="M5" s="201" t="s">
        <v>30</v>
      </c>
      <c r="N5" s="201" t="s">
        <v>17</v>
      </c>
      <c r="O5" s="201" t="s">
        <v>30</v>
      </c>
      <c r="P5" s="201" t="s">
        <v>17</v>
      </c>
      <c r="Q5" s="586"/>
      <c r="R5" s="193"/>
    </row>
    <row r="6" spans="1:18" s="85" customFormat="1" ht="13.5">
      <c r="A6" s="79">
        <v>1</v>
      </c>
      <c r="B6" s="130" t="s">
        <v>57</v>
      </c>
      <c r="C6" s="131">
        <v>1520</v>
      </c>
      <c r="D6" s="131">
        <v>5556.22</v>
      </c>
      <c r="E6" s="131">
        <v>0</v>
      </c>
      <c r="F6" s="131">
        <v>0</v>
      </c>
      <c r="G6" s="132">
        <f>F6*100/D6</f>
        <v>0</v>
      </c>
      <c r="H6" s="131">
        <v>4048</v>
      </c>
      <c r="I6" s="131">
        <v>3227</v>
      </c>
      <c r="J6" s="131">
        <v>267</v>
      </c>
      <c r="K6" s="131">
        <v>445.85</v>
      </c>
      <c r="L6" s="132">
        <f>K6*100/I6</f>
        <v>13.81623799194298</v>
      </c>
      <c r="M6" s="131">
        <f>H6+C6+'[1]ACP_Agri_9(i)'!C6</f>
        <v>59642</v>
      </c>
      <c r="N6" s="131">
        <f>I6+D6+'[1]ACP_Agri_9(i)'!D6</f>
        <v>141080.28</v>
      </c>
      <c r="O6" s="131">
        <f>J6+E6+'[1]ACP_Agri_9(i)'!E6</f>
        <v>3015</v>
      </c>
      <c r="P6" s="131">
        <f>R6</f>
        <v>3953.38</v>
      </c>
      <c r="Q6" s="132">
        <f>P6*100/N6</f>
        <v>2.8022201260161945</v>
      </c>
      <c r="R6" s="145">
        <f>'ACP_Agri_9(i)'!F6+'ACP_Agri_9(ii)'!F6+'ACP_Agri_9(ii)'!K6</f>
        <v>3953.38</v>
      </c>
    </row>
    <row r="7" spans="1:18" s="85" customFormat="1" ht="13.5">
      <c r="A7" s="79">
        <v>2</v>
      </c>
      <c r="B7" s="130" t="s">
        <v>58</v>
      </c>
      <c r="C7" s="131">
        <v>34</v>
      </c>
      <c r="D7" s="131">
        <v>137.56</v>
      </c>
      <c r="E7" s="131">
        <v>0</v>
      </c>
      <c r="F7" s="131">
        <v>0</v>
      </c>
      <c r="G7" s="132">
        <f aca="true" t="shared" si="0" ref="G7:G59">F7*100/D7</f>
        <v>0</v>
      </c>
      <c r="H7" s="131">
        <v>24</v>
      </c>
      <c r="I7" s="131">
        <v>79.9</v>
      </c>
      <c r="J7" s="131">
        <v>0</v>
      </c>
      <c r="K7" s="131">
        <v>0</v>
      </c>
      <c r="L7" s="132">
        <f aca="true" t="shared" si="1" ref="L7:L59">K7*100/I7</f>
        <v>0</v>
      </c>
      <c r="M7" s="131">
        <f>H7+C7+'[1]ACP_Agri_9(i)'!C7</f>
        <v>1222</v>
      </c>
      <c r="N7" s="131">
        <f>I7+D7+'[1]ACP_Agri_9(i)'!D7</f>
        <v>3492.79</v>
      </c>
      <c r="O7" s="131">
        <f>J7+E7+'[1]ACP_Agri_9(i)'!E7</f>
        <v>336</v>
      </c>
      <c r="P7" s="131">
        <f aca="true" t="shared" si="2" ref="P7:P57">R7</f>
        <v>641</v>
      </c>
      <c r="Q7" s="132">
        <f aca="true" t="shared" si="3" ref="Q7:Q59">P7*100/N7</f>
        <v>18.352091021790603</v>
      </c>
      <c r="R7" s="145">
        <f>'ACP_Agri_9(i)'!F7+'ACP_Agri_9(ii)'!F7+'ACP_Agri_9(ii)'!K7</f>
        <v>641</v>
      </c>
    </row>
    <row r="8" spans="1:18" s="85" customFormat="1" ht="13.5">
      <c r="A8" s="79">
        <v>3</v>
      </c>
      <c r="B8" s="130" t="s">
        <v>59</v>
      </c>
      <c r="C8" s="131">
        <v>1022</v>
      </c>
      <c r="D8" s="131">
        <v>4655.98</v>
      </c>
      <c r="E8" s="131">
        <v>2149</v>
      </c>
      <c r="F8" s="131">
        <v>10051</v>
      </c>
      <c r="G8" s="132">
        <f t="shared" si="0"/>
        <v>215.87292041632483</v>
      </c>
      <c r="H8" s="131">
        <v>704</v>
      </c>
      <c r="I8" s="131">
        <v>2704.42</v>
      </c>
      <c r="J8" s="131">
        <v>488</v>
      </c>
      <c r="K8" s="131">
        <v>1926</v>
      </c>
      <c r="L8" s="132">
        <f t="shared" si="1"/>
        <v>71.21674887776307</v>
      </c>
      <c r="M8" s="131">
        <f>H8+C8+'[1]ACP_Agri_9(i)'!C8</f>
        <v>38048</v>
      </c>
      <c r="N8" s="131">
        <f>I8+D8+'[1]ACP_Agri_9(i)'!D8</f>
        <v>118221.93999999999</v>
      </c>
      <c r="O8" s="131">
        <f>J8+E8+'[1]ACP_Agri_9(i)'!E8</f>
        <v>8996</v>
      </c>
      <c r="P8" s="131">
        <f t="shared" si="2"/>
        <v>21758</v>
      </c>
      <c r="Q8" s="132">
        <f t="shared" si="3"/>
        <v>18.404367243508272</v>
      </c>
      <c r="R8" s="145">
        <f>'ACP_Agri_9(i)'!F8+'ACP_Agri_9(ii)'!F8+'ACP_Agri_9(ii)'!K8</f>
        <v>21758</v>
      </c>
    </row>
    <row r="9" spans="1:18" s="85" customFormat="1" ht="13.5">
      <c r="A9" s="79">
        <v>4</v>
      </c>
      <c r="B9" s="130" t="s">
        <v>60</v>
      </c>
      <c r="C9" s="131">
        <v>5162</v>
      </c>
      <c r="D9" s="131">
        <v>28477.16</v>
      </c>
      <c r="E9" s="131">
        <v>10574</v>
      </c>
      <c r="F9" s="131">
        <v>16992.24</v>
      </c>
      <c r="G9" s="132">
        <f t="shared" si="0"/>
        <v>59.66971425521366</v>
      </c>
      <c r="H9" s="131">
        <v>3558</v>
      </c>
      <c r="I9" s="131">
        <v>16540.99</v>
      </c>
      <c r="J9" s="131">
        <v>18931</v>
      </c>
      <c r="K9" s="131">
        <v>30092.8</v>
      </c>
      <c r="L9" s="132">
        <f t="shared" si="1"/>
        <v>181.92865118714175</v>
      </c>
      <c r="M9" s="131">
        <f>H9+C9+'[1]ACP_Agri_9(i)'!C9</f>
        <v>192320</v>
      </c>
      <c r="N9" s="131">
        <f>I9+D9+'[1]ACP_Agri_9(i)'!D9</f>
        <v>723077.52</v>
      </c>
      <c r="O9" s="131">
        <f>J9+E9+'[1]ACP_Agri_9(i)'!E9</f>
        <v>262376</v>
      </c>
      <c r="P9" s="131">
        <f t="shared" si="2"/>
        <v>323510.8250813999</v>
      </c>
      <c r="Q9" s="132">
        <f t="shared" si="3"/>
        <v>44.740821852876834</v>
      </c>
      <c r="R9" s="145">
        <f>'ACP_Agri_9(i)'!F9+'ACP_Agri_9(ii)'!F9+'ACP_Agri_9(ii)'!K9</f>
        <v>323510.8250813999</v>
      </c>
    </row>
    <row r="10" spans="1:18" s="85" customFormat="1" ht="13.5">
      <c r="A10" s="79">
        <v>5</v>
      </c>
      <c r="B10" s="130" t="s">
        <v>61</v>
      </c>
      <c r="C10" s="131">
        <v>1098</v>
      </c>
      <c r="D10" s="131">
        <v>4773.65</v>
      </c>
      <c r="E10" s="131">
        <v>0</v>
      </c>
      <c r="F10" s="131">
        <v>0</v>
      </c>
      <c r="G10" s="132">
        <f t="shared" si="0"/>
        <v>0</v>
      </c>
      <c r="H10" s="131">
        <v>757</v>
      </c>
      <c r="I10" s="131">
        <v>2772.78</v>
      </c>
      <c r="J10" s="131">
        <v>0</v>
      </c>
      <c r="K10" s="131">
        <v>0</v>
      </c>
      <c r="L10" s="132">
        <f t="shared" si="1"/>
        <v>0</v>
      </c>
      <c r="M10" s="131">
        <f>H10+C10+'[1]ACP_Agri_9(i)'!C10</f>
        <v>40939</v>
      </c>
      <c r="N10" s="131">
        <f>I10+D10+'[1]ACP_Agri_9(i)'!D10</f>
        <v>121210.17000000001</v>
      </c>
      <c r="O10" s="131">
        <f>J10+E10+'[1]ACP_Agri_9(i)'!E10</f>
        <v>17903</v>
      </c>
      <c r="P10" s="131">
        <f t="shared" si="2"/>
        <v>22730</v>
      </c>
      <c r="Q10" s="132">
        <f t="shared" si="3"/>
        <v>18.752551869203714</v>
      </c>
      <c r="R10" s="145">
        <f>'ACP_Agri_9(i)'!F10+'ACP_Agri_9(ii)'!F10+'ACP_Agri_9(ii)'!K10</f>
        <v>22730</v>
      </c>
    </row>
    <row r="11" spans="1:18" s="85" customFormat="1" ht="13.5">
      <c r="A11" s="79">
        <v>6</v>
      </c>
      <c r="B11" s="133" t="s">
        <v>289</v>
      </c>
      <c r="C11" s="131">
        <v>15</v>
      </c>
      <c r="D11" s="131">
        <v>25</v>
      </c>
      <c r="E11" s="131">
        <v>0</v>
      </c>
      <c r="F11" s="131">
        <v>0</v>
      </c>
      <c r="G11" s="132">
        <f t="shared" si="0"/>
        <v>0</v>
      </c>
      <c r="H11" s="131">
        <v>0</v>
      </c>
      <c r="I11" s="131">
        <v>0</v>
      </c>
      <c r="J11" s="131">
        <v>0</v>
      </c>
      <c r="K11" s="131">
        <v>0</v>
      </c>
      <c r="L11" s="132">
        <v>0</v>
      </c>
      <c r="M11" s="131">
        <f>H11+C11+'[1]ACP_Agri_9(i)'!C11</f>
        <v>30</v>
      </c>
      <c r="N11" s="131">
        <f>I11+D11+'[1]ACP_Agri_9(i)'!D11</f>
        <v>50</v>
      </c>
      <c r="O11" s="131">
        <f>J11+E11+'[1]ACP_Agri_9(i)'!E11</f>
        <v>1</v>
      </c>
      <c r="P11" s="131">
        <f t="shared" si="2"/>
        <v>1</v>
      </c>
      <c r="Q11" s="132">
        <f t="shared" si="3"/>
        <v>2</v>
      </c>
      <c r="R11" s="145">
        <f>'ACP_Agri_9(i)'!F11+'ACP_Agri_9(ii)'!F11+'ACP_Agri_9(ii)'!K11</f>
        <v>1</v>
      </c>
    </row>
    <row r="12" spans="1:18" s="85" customFormat="1" ht="13.5">
      <c r="A12" s="79">
        <v>7</v>
      </c>
      <c r="B12" s="130" t="s">
        <v>62</v>
      </c>
      <c r="C12" s="131">
        <v>594</v>
      </c>
      <c r="D12" s="131">
        <v>2372.33</v>
      </c>
      <c r="E12" s="131">
        <v>258</v>
      </c>
      <c r="F12" s="131">
        <v>2648</v>
      </c>
      <c r="G12" s="132">
        <f t="shared" si="0"/>
        <v>111.62022147003158</v>
      </c>
      <c r="H12" s="131">
        <v>410</v>
      </c>
      <c r="I12" s="131">
        <v>1377.98</v>
      </c>
      <c r="J12" s="131">
        <v>78</v>
      </c>
      <c r="K12" s="131">
        <v>1115</v>
      </c>
      <c r="L12" s="132">
        <f t="shared" si="1"/>
        <v>80.91554304126329</v>
      </c>
      <c r="M12" s="131">
        <f>H12+C12+'[1]ACP_Agri_9(i)'!C12</f>
        <v>22139</v>
      </c>
      <c r="N12" s="131">
        <f>I12+D12+'[1]ACP_Agri_9(i)'!D12</f>
        <v>60236.99</v>
      </c>
      <c r="O12" s="131">
        <f>J12+E12+'[1]ACP_Agri_9(i)'!E12</f>
        <v>17323</v>
      </c>
      <c r="P12" s="131">
        <f t="shared" si="2"/>
        <v>28589</v>
      </c>
      <c r="Q12" s="132">
        <f t="shared" si="3"/>
        <v>47.460870803803445</v>
      </c>
      <c r="R12" s="145">
        <f>'ACP_Agri_9(i)'!F12+'ACP_Agri_9(ii)'!F12+'ACP_Agri_9(ii)'!K12</f>
        <v>28589</v>
      </c>
    </row>
    <row r="13" spans="1:18" s="85" customFormat="1" ht="13.5">
      <c r="A13" s="79">
        <v>8</v>
      </c>
      <c r="B13" s="130" t="s">
        <v>63</v>
      </c>
      <c r="C13" s="131">
        <v>5520</v>
      </c>
      <c r="D13" s="131">
        <v>23705.15</v>
      </c>
      <c r="E13" s="131">
        <v>24</v>
      </c>
      <c r="F13" s="131">
        <v>105.59</v>
      </c>
      <c r="G13" s="132">
        <f t="shared" si="0"/>
        <v>0.44543063427145574</v>
      </c>
      <c r="H13" s="131">
        <v>3805</v>
      </c>
      <c r="I13" s="131">
        <v>13769.16</v>
      </c>
      <c r="J13" s="131">
        <v>123</v>
      </c>
      <c r="K13" s="131">
        <v>4048.43</v>
      </c>
      <c r="L13" s="132">
        <f t="shared" si="1"/>
        <v>29.402156703822165</v>
      </c>
      <c r="M13" s="131">
        <f>H13+C13+'[1]ACP_Agri_9(i)'!C13</f>
        <v>205684</v>
      </c>
      <c r="N13" s="131">
        <f>I13+D13+'[1]ACP_Agri_9(i)'!D13</f>
        <v>601909.1599999999</v>
      </c>
      <c r="O13" s="131">
        <f>J13+E13+'[1]ACP_Agri_9(i)'!E13</f>
        <v>45309</v>
      </c>
      <c r="P13" s="131">
        <f t="shared" si="2"/>
        <v>126975.04336</v>
      </c>
      <c r="Q13" s="132">
        <f t="shared" si="3"/>
        <v>21.095383123925213</v>
      </c>
      <c r="R13" s="145">
        <f>'ACP_Agri_9(i)'!F13+'ACP_Agri_9(ii)'!F13+'ACP_Agri_9(ii)'!K13</f>
        <v>126975.04336</v>
      </c>
    </row>
    <row r="14" spans="1:18" s="85" customFormat="1" ht="13.5">
      <c r="A14" s="79">
        <v>9</v>
      </c>
      <c r="B14" s="130" t="s">
        <v>50</v>
      </c>
      <c r="C14" s="131">
        <v>120</v>
      </c>
      <c r="D14" s="131">
        <v>586.42</v>
      </c>
      <c r="E14" s="131">
        <v>5</v>
      </c>
      <c r="F14" s="131">
        <v>547.79</v>
      </c>
      <c r="G14" s="132">
        <f t="shared" si="0"/>
        <v>93.41257119470687</v>
      </c>
      <c r="H14" s="131">
        <v>84</v>
      </c>
      <c r="I14" s="131">
        <v>340.62</v>
      </c>
      <c r="J14" s="131">
        <v>0</v>
      </c>
      <c r="K14" s="131">
        <v>0</v>
      </c>
      <c r="L14" s="132">
        <f t="shared" si="1"/>
        <v>0</v>
      </c>
      <c r="M14" s="131">
        <f>H14+C14+'[1]ACP_Agri_9(i)'!C14</f>
        <v>4515</v>
      </c>
      <c r="N14" s="131">
        <f>I14+D14+'[1]ACP_Agri_9(i)'!D14</f>
        <v>14890.14</v>
      </c>
      <c r="O14" s="131">
        <f>J14+E14+'[1]ACP_Agri_9(i)'!E14</f>
        <v>1796</v>
      </c>
      <c r="P14" s="131">
        <f t="shared" si="2"/>
        <v>5278.2</v>
      </c>
      <c r="Q14" s="132">
        <f t="shared" si="3"/>
        <v>35.44761835684554</v>
      </c>
      <c r="R14" s="145">
        <f>'ACP_Agri_9(i)'!F14+'ACP_Agri_9(ii)'!F14+'ACP_Agri_9(ii)'!K14</f>
        <v>5278.2</v>
      </c>
    </row>
    <row r="15" spans="1:18" s="85" customFormat="1" ht="13.5">
      <c r="A15" s="79">
        <v>10</v>
      </c>
      <c r="B15" s="130" t="s">
        <v>51</v>
      </c>
      <c r="C15" s="131">
        <v>318</v>
      </c>
      <c r="D15" s="131">
        <v>1649.57</v>
      </c>
      <c r="E15" s="131">
        <v>0</v>
      </c>
      <c r="F15" s="131">
        <v>0</v>
      </c>
      <c r="G15" s="132">
        <f t="shared" si="0"/>
        <v>0</v>
      </c>
      <c r="H15" s="131">
        <v>220</v>
      </c>
      <c r="I15" s="131">
        <v>958.16</v>
      </c>
      <c r="J15" s="131">
        <v>1</v>
      </c>
      <c r="K15" s="131">
        <v>2.5</v>
      </c>
      <c r="L15" s="132">
        <f t="shared" si="1"/>
        <v>0.26091675711780915</v>
      </c>
      <c r="M15" s="131">
        <f>H15+C15+'[1]ACP_Agri_9(i)'!C15</f>
        <v>11882</v>
      </c>
      <c r="N15" s="131">
        <f>I15+D15+'[1]ACP_Agri_9(i)'!D15</f>
        <v>41885.07</v>
      </c>
      <c r="O15" s="131">
        <f>J15+E15+'[1]ACP_Agri_9(i)'!E15</f>
        <v>1478</v>
      </c>
      <c r="P15" s="131">
        <f t="shared" si="2"/>
        <v>4856.5</v>
      </c>
      <c r="Q15" s="132">
        <f t="shared" si="3"/>
        <v>11.594823644797538</v>
      </c>
      <c r="R15" s="145">
        <f>'ACP_Agri_9(i)'!F15+'ACP_Agri_9(ii)'!F15+'ACP_Agri_9(ii)'!K15</f>
        <v>4856.5</v>
      </c>
    </row>
    <row r="16" spans="1:18" s="85" customFormat="1" ht="13.5">
      <c r="A16" s="79">
        <v>11</v>
      </c>
      <c r="B16" s="130" t="s">
        <v>290</v>
      </c>
      <c r="C16" s="131">
        <v>215</v>
      </c>
      <c r="D16" s="131">
        <v>961.46</v>
      </c>
      <c r="E16" s="131">
        <v>8</v>
      </c>
      <c r="F16" s="131">
        <v>284</v>
      </c>
      <c r="G16" s="132">
        <f t="shared" si="0"/>
        <v>29.538410334283277</v>
      </c>
      <c r="H16" s="131">
        <v>148</v>
      </c>
      <c r="I16" s="131">
        <v>558.46</v>
      </c>
      <c r="J16" s="131">
        <v>10</v>
      </c>
      <c r="K16" s="131">
        <v>776.82</v>
      </c>
      <c r="L16" s="132">
        <f t="shared" si="1"/>
        <v>139.10038319664793</v>
      </c>
      <c r="M16" s="131">
        <f>H16+C16+'[1]ACP_Agri_9(i)'!C16</f>
        <v>7993</v>
      </c>
      <c r="N16" s="131">
        <f>I16+D16+'[1]ACP_Agri_9(i)'!D16</f>
        <v>24412.86</v>
      </c>
      <c r="O16" s="131">
        <f>J16+E16+'[1]ACP_Agri_9(i)'!E16</f>
        <v>5652</v>
      </c>
      <c r="P16" s="131">
        <f t="shared" si="2"/>
        <v>14192.22</v>
      </c>
      <c r="Q16" s="132">
        <f t="shared" si="3"/>
        <v>58.13419648496735</v>
      </c>
      <c r="R16" s="145">
        <f>'ACP_Agri_9(i)'!F16+'ACP_Agri_9(ii)'!F16+'ACP_Agri_9(ii)'!K16</f>
        <v>14192.22</v>
      </c>
    </row>
    <row r="17" spans="1:18" s="85" customFormat="1" ht="13.5">
      <c r="A17" s="79">
        <v>12</v>
      </c>
      <c r="B17" s="130" t="s">
        <v>64</v>
      </c>
      <c r="C17" s="131">
        <v>94</v>
      </c>
      <c r="D17" s="131">
        <v>471.54</v>
      </c>
      <c r="E17" s="131">
        <v>0</v>
      </c>
      <c r="F17" s="131">
        <v>0</v>
      </c>
      <c r="G17" s="132">
        <f t="shared" si="0"/>
        <v>0</v>
      </c>
      <c r="H17" s="131">
        <v>65</v>
      </c>
      <c r="I17" s="131">
        <v>273.89</v>
      </c>
      <c r="J17" s="131">
        <v>0</v>
      </c>
      <c r="K17" s="131">
        <v>0</v>
      </c>
      <c r="L17" s="132">
        <f t="shared" si="1"/>
        <v>0</v>
      </c>
      <c r="M17" s="131">
        <f>H17+C17+'[1]ACP_Agri_9(i)'!C17</f>
        <v>3488</v>
      </c>
      <c r="N17" s="131">
        <f>I17+D17+'[1]ACP_Agri_9(i)'!D17</f>
        <v>11973.08</v>
      </c>
      <c r="O17" s="131">
        <f>J17+E17+'[1]ACP_Agri_9(i)'!E17</f>
        <v>2387</v>
      </c>
      <c r="P17" s="131">
        <f t="shared" si="2"/>
        <v>3753.52</v>
      </c>
      <c r="Q17" s="132">
        <f t="shared" si="3"/>
        <v>31.349661073007113</v>
      </c>
      <c r="R17" s="145">
        <f>'ACP_Agri_9(i)'!F17+'ACP_Agri_9(ii)'!F17+'ACP_Agri_9(ii)'!K17</f>
        <v>3753.52</v>
      </c>
    </row>
    <row r="18" spans="1:18" s="85" customFormat="1" ht="13.5">
      <c r="A18" s="79">
        <v>13</v>
      </c>
      <c r="B18" s="130" t="s">
        <v>65</v>
      </c>
      <c r="C18" s="131">
        <v>110</v>
      </c>
      <c r="D18" s="131">
        <v>455.91</v>
      </c>
      <c r="E18" s="131">
        <v>5</v>
      </c>
      <c r="F18" s="131">
        <v>46</v>
      </c>
      <c r="G18" s="132">
        <f t="shared" si="0"/>
        <v>10.089710688513083</v>
      </c>
      <c r="H18" s="131">
        <v>75</v>
      </c>
      <c r="I18" s="131">
        <v>264.81</v>
      </c>
      <c r="J18" s="131">
        <v>31</v>
      </c>
      <c r="K18" s="131">
        <v>4763.5</v>
      </c>
      <c r="L18" s="132">
        <f t="shared" si="1"/>
        <v>1798.8369019296854</v>
      </c>
      <c r="M18" s="131">
        <f>H18+C18+'[1]ACP_Agri_9(i)'!C18</f>
        <v>4069</v>
      </c>
      <c r="N18" s="131">
        <f>I18+D18+'[1]ACP_Agri_9(i)'!D18</f>
        <v>11576.15</v>
      </c>
      <c r="O18" s="131">
        <f>J18+E18+'[1]ACP_Agri_9(i)'!E18</f>
        <v>232</v>
      </c>
      <c r="P18" s="131">
        <f t="shared" si="2"/>
        <v>5066.99</v>
      </c>
      <c r="Q18" s="132">
        <f t="shared" si="3"/>
        <v>43.77094284369156</v>
      </c>
      <c r="R18" s="145">
        <f>'ACP_Agri_9(i)'!F18+'ACP_Agri_9(ii)'!F18+'ACP_Agri_9(ii)'!K18</f>
        <v>5066.99</v>
      </c>
    </row>
    <row r="19" spans="1:18" s="85" customFormat="1" ht="13.5">
      <c r="A19" s="79">
        <v>14</v>
      </c>
      <c r="B19" s="134" t="s">
        <v>291</v>
      </c>
      <c r="C19" s="131">
        <v>392</v>
      </c>
      <c r="D19" s="131">
        <v>1874.8</v>
      </c>
      <c r="E19" s="131">
        <v>39</v>
      </c>
      <c r="F19" s="131">
        <v>74.39</v>
      </c>
      <c r="G19" s="132">
        <f t="shared" si="0"/>
        <v>3.967889908256881</v>
      </c>
      <c r="H19" s="131">
        <v>270</v>
      </c>
      <c r="I19" s="131">
        <v>1088.98</v>
      </c>
      <c r="J19" s="131">
        <v>64</v>
      </c>
      <c r="K19" s="131">
        <v>6878.55</v>
      </c>
      <c r="L19" s="132">
        <f t="shared" si="1"/>
        <v>631.6507190214696</v>
      </c>
      <c r="M19" s="131">
        <f>H19+C19+'[1]ACP_Agri_9(i)'!C19</f>
        <v>14598</v>
      </c>
      <c r="N19" s="131">
        <f>I19+D19+'[1]ACP_Agri_9(i)'!D19</f>
        <v>47603.869999999995</v>
      </c>
      <c r="O19" s="131">
        <f>J19+E19+'[1]ACP_Agri_9(i)'!E19</f>
        <v>3625</v>
      </c>
      <c r="P19" s="131">
        <f t="shared" si="2"/>
        <v>14168.960000000001</v>
      </c>
      <c r="Q19" s="132">
        <f t="shared" si="3"/>
        <v>29.764302776223868</v>
      </c>
      <c r="R19" s="145">
        <f>'ACP_Agri_9(i)'!F19+'ACP_Agri_9(ii)'!F19+'ACP_Agri_9(ii)'!K19</f>
        <v>14168.960000000001</v>
      </c>
    </row>
    <row r="20" spans="1:18" s="85" customFormat="1" ht="13.5">
      <c r="A20" s="79">
        <v>15</v>
      </c>
      <c r="B20" s="130" t="s">
        <v>292</v>
      </c>
      <c r="C20" s="131">
        <v>174</v>
      </c>
      <c r="D20" s="131">
        <v>842.06</v>
      </c>
      <c r="E20" s="131">
        <v>0</v>
      </c>
      <c r="F20" s="131">
        <v>0</v>
      </c>
      <c r="G20" s="132">
        <f t="shared" si="0"/>
        <v>0</v>
      </c>
      <c r="H20" s="131">
        <v>120</v>
      </c>
      <c r="I20" s="131">
        <v>489.11</v>
      </c>
      <c r="J20" s="131">
        <v>0</v>
      </c>
      <c r="K20" s="131">
        <v>0</v>
      </c>
      <c r="L20" s="132">
        <f t="shared" si="1"/>
        <v>0</v>
      </c>
      <c r="M20" s="131">
        <f>H20+C20+'[1]ACP_Agri_9(i)'!C20</f>
        <v>6439</v>
      </c>
      <c r="N20" s="131">
        <f>I20+D20+'[1]ACP_Agri_9(i)'!D20</f>
        <v>21381.269999999997</v>
      </c>
      <c r="O20" s="131">
        <f>J20+E20+'[1]ACP_Agri_9(i)'!E20</f>
        <v>184</v>
      </c>
      <c r="P20" s="131">
        <f t="shared" si="2"/>
        <v>385</v>
      </c>
      <c r="Q20" s="132">
        <f t="shared" si="3"/>
        <v>1.8006414024985422</v>
      </c>
      <c r="R20" s="145">
        <f>'ACP_Agri_9(i)'!F20+'ACP_Agri_9(ii)'!F20+'ACP_Agri_9(ii)'!K20</f>
        <v>385</v>
      </c>
    </row>
    <row r="21" spans="1:18" s="85" customFormat="1" ht="13.5">
      <c r="A21" s="79">
        <v>16</v>
      </c>
      <c r="B21" s="130" t="s">
        <v>66</v>
      </c>
      <c r="C21" s="131">
        <v>2210</v>
      </c>
      <c r="D21" s="131">
        <v>10692.86</v>
      </c>
      <c r="E21" s="131">
        <v>769</v>
      </c>
      <c r="F21" s="131">
        <v>1296</v>
      </c>
      <c r="G21" s="132">
        <f t="shared" si="0"/>
        <v>12.120237242421577</v>
      </c>
      <c r="H21" s="131">
        <v>1524</v>
      </c>
      <c r="I21" s="131">
        <v>6210.96</v>
      </c>
      <c r="J21" s="131">
        <v>4661</v>
      </c>
      <c r="K21" s="131">
        <v>11968</v>
      </c>
      <c r="L21" s="132">
        <f t="shared" si="1"/>
        <v>192.69162899133144</v>
      </c>
      <c r="M21" s="131">
        <f>H21+C21+'[1]ACP_Agri_9(i)'!C21</f>
        <v>82310</v>
      </c>
      <c r="N21" s="131">
        <f>I21+D21+'[1]ACP_Agri_9(i)'!D21</f>
        <v>271507.63</v>
      </c>
      <c r="O21" s="131">
        <f>J21+E21+'[1]ACP_Agri_9(i)'!E21</f>
        <v>53175</v>
      </c>
      <c r="P21" s="131">
        <f t="shared" si="2"/>
        <v>121109</v>
      </c>
      <c r="Q21" s="132">
        <f t="shared" si="3"/>
        <v>44.60611291108099</v>
      </c>
      <c r="R21" s="145">
        <f>'ACP_Agri_9(i)'!F21+'ACP_Agri_9(ii)'!F21+'ACP_Agri_9(ii)'!K21</f>
        <v>121109</v>
      </c>
    </row>
    <row r="22" spans="1:18" s="85" customFormat="1" ht="13.5">
      <c r="A22" s="79">
        <v>17</v>
      </c>
      <c r="B22" s="135" t="s">
        <v>67</v>
      </c>
      <c r="C22" s="131">
        <v>432</v>
      </c>
      <c r="D22" s="131">
        <v>1672.07</v>
      </c>
      <c r="E22" s="131">
        <v>6</v>
      </c>
      <c r="F22" s="131">
        <v>168</v>
      </c>
      <c r="G22" s="132">
        <f t="shared" si="0"/>
        <v>10.047426244116574</v>
      </c>
      <c r="H22" s="131">
        <v>298</v>
      </c>
      <c r="I22" s="131">
        <v>971.22</v>
      </c>
      <c r="J22" s="131">
        <v>40</v>
      </c>
      <c r="K22" s="131">
        <v>353</v>
      </c>
      <c r="L22" s="132">
        <f t="shared" si="1"/>
        <v>36.34603900249171</v>
      </c>
      <c r="M22" s="131">
        <f>H22+C22+'[1]ACP_Agri_9(i)'!C22</f>
        <v>16104</v>
      </c>
      <c r="N22" s="131">
        <f>I22+D22+'[1]ACP_Agri_9(i)'!D22</f>
        <v>42456.340000000004</v>
      </c>
      <c r="O22" s="131">
        <f>J22+E22+'[1]ACP_Agri_9(i)'!E22</f>
        <v>8169</v>
      </c>
      <c r="P22" s="131">
        <f t="shared" si="2"/>
        <v>12045</v>
      </c>
      <c r="Q22" s="132">
        <f t="shared" si="3"/>
        <v>28.37032113460557</v>
      </c>
      <c r="R22" s="145">
        <f>'ACP_Agri_9(i)'!F22+'ACP_Agri_9(ii)'!F22+'ACP_Agri_9(ii)'!K22</f>
        <v>12045</v>
      </c>
    </row>
    <row r="23" spans="1:18" s="85" customFormat="1" ht="13.5">
      <c r="A23" s="79">
        <v>18</v>
      </c>
      <c r="B23" s="130" t="s">
        <v>253</v>
      </c>
      <c r="C23" s="131">
        <v>1166</v>
      </c>
      <c r="D23" s="131">
        <v>5513.96</v>
      </c>
      <c r="E23" s="131">
        <v>25</v>
      </c>
      <c r="F23" s="131">
        <v>76</v>
      </c>
      <c r="G23" s="132">
        <f t="shared" si="0"/>
        <v>1.3783197556746876</v>
      </c>
      <c r="H23" s="131">
        <v>804</v>
      </c>
      <c r="I23" s="131">
        <v>3202.79</v>
      </c>
      <c r="J23" s="131">
        <v>33</v>
      </c>
      <c r="K23" s="131">
        <v>57</v>
      </c>
      <c r="L23" s="132">
        <f t="shared" si="1"/>
        <v>1.7796983255224352</v>
      </c>
      <c r="M23" s="131">
        <f>H23+C23+'[1]ACP_Agri_9(i)'!C23</f>
        <v>43428</v>
      </c>
      <c r="N23" s="131">
        <f>I23+D23+'[1]ACP_Agri_9(i)'!D23</f>
        <v>140007.55</v>
      </c>
      <c r="O23" s="131">
        <f>J23+E23+'[1]ACP_Agri_9(i)'!E23</f>
        <v>1489</v>
      </c>
      <c r="P23" s="131">
        <f t="shared" si="2"/>
        <v>3628</v>
      </c>
      <c r="Q23" s="132">
        <f t="shared" si="3"/>
        <v>2.591288826923977</v>
      </c>
      <c r="R23" s="145">
        <f>'ACP_Agri_9(i)'!F23+'ACP_Agri_9(ii)'!F23+'ACP_Agri_9(ii)'!K23</f>
        <v>3628</v>
      </c>
    </row>
    <row r="24" spans="1:18" s="85" customFormat="1" ht="13.5">
      <c r="A24" s="79">
        <v>19</v>
      </c>
      <c r="B24" s="136" t="s">
        <v>68</v>
      </c>
      <c r="C24" s="131">
        <v>2500</v>
      </c>
      <c r="D24" s="131">
        <v>8823.81</v>
      </c>
      <c r="E24" s="131">
        <v>99</v>
      </c>
      <c r="F24" s="131">
        <v>281.14</v>
      </c>
      <c r="G24" s="132">
        <f t="shared" si="0"/>
        <v>3.186152013699298</v>
      </c>
      <c r="H24" s="131">
        <v>1724</v>
      </c>
      <c r="I24" s="131">
        <v>5125.32</v>
      </c>
      <c r="J24" s="131">
        <v>196</v>
      </c>
      <c r="K24" s="131">
        <v>3751.85</v>
      </c>
      <c r="L24" s="132">
        <f t="shared" si="1"/>
        <v>73.20225859068313</v>
      </c>
      <c r="M24" s="131">
        <f>H24+C24+'[1]ACP_Agri_9(i)'!C24</f>
        <v>93138</v>
      </c>
      <c r="N24" s="131">
        <f>I24+D24+'[1]ACP_Agri_9(i)'!D24</f>
        <v>224049.79</v>
      </c>
      <c r="O24" s="131">
        <f>J24+E24+'[1]ACP_Agri_9(i)'!E24</f>
        <v>5763</v>
      </c>
      <c r="P24" s="131">
        <f t="shared" si="2"/>
        <v>14796.49</v>
      </c>
      <c r="Q24" s="132">
        <f t="shared" si="3"/>
        <v>6.604107952968847</v>
      </c>
      <c r="R24" s="145">
        <f>'ACP_Agri_9(i)'!F24+'ACP_Agri_9(ii)'!F24+'ACP_Agri_9(ii)'!K24</f>
        <v>14796.49</v>
      </c>
    </row>
    <row r="25" spans="1:18" s="85" customFormat="1" ht="13.5">
      <c r="A25" s="79">
        <v>20</v>
      </c>
      <c r="B25" s="130" t="s">
        <v>69</v>
      </c>
      <c r="C25" s="131">
        <v>30</v>
      </c>
      <c r="D25" s="131">
        <v>113.54</v>
      </c>
      <c r="E25" s="131">
        <v>0</v>
      </c>
      <c r="F25" s="131">
        <v>0</v>
      </c>
      <c r="G25" s="132">
        <f t="shared" si="0"/>
        <v>0</v>
      </c>
      <c r="H25" s="131">
        <v>20</v>
      </c>
      <c r="I25" s="131">
        <v>65.95</v>
      </c>
      <c r="J25" s="131">
        <v>0</v>
      </c>
      <c r="K25" s="131">
        <v>0</v>
      </c>
      <c r="L25" s="132">
        <f t="shared" si="1"/>
        <v>0</v>
      </c>
      <c r="M25" s="131">
        <f>H25+C25+'[1]ACP_Agri_9(i)'!C25</f>
        <v>1068</v>
      </c>
      <c r="N25" s="131">
        <f>I25+D25+'[1]ACP_Agri_9(i)'!D25</f>
        <v>2883.05</v>
      </c>
      <c r="O25" s="131">
        <f>J25+E25+'[1]ACP_Agri_9(i)'!E25</f>
        <v>0</v>
      </c>
      <c r="P25" s="131">
        <f t="shared" si="2"/>
        <v>0</v>
      </c>
      <c r="Q25" s="132">
        <f t="shared" si="3"/>
        <v>0</v>
      </c>
      <c r="R25" s="145">
        <f>'ACP_Agri_9(i)'!F25+'ACP_Agri_9(ii)'!F25+'ACP_Agri_9(ii)'!K25</f>
        <v>0</v>
      </c>
    </row>
    <row r="26" spans="1:18" s="85" customFormat="1" ht="13.5">
      <c r="A26" s="79">
        <v>21</v>
      </c>
      <c r="B26" s="130" t="s">
        <v>52</v>
      </c>
      <c r="C26" s="131">
        <v>118</v>
      </c>
      <c r="D26" s="131">
        <v>552.12</v>
      </c>
      <c r="E26" s="131">
        <v>26</v>
      </c>
      <c r="F26" s="131">
        <v>64.15</v>
      </c>
      <c r="G26" s="132">
        <f t="shared" si="0"/>
        <v>11.61885097442585</v>
      </c>
      <c r="H26" s="131">
        <v>82</v>
      </c>
      <c r="I26" s="131">
        <v>320.7</v>
      </c>
      <c r="J26" s="131">
        <v>58</v>
      </c>
      <c r="K26" s="131">
        <v>56.47</v>
      </c>
      <c r="L26" s="132">
        <f t="shared" si="1"/>
        <v>17.60835671967571</v>
      </c>
      <c r="M26" s="131">
        <f>H26+C26+'[1]ACP_Agri_9(i)'!C26</f>
        <v>4366</v>
      </c>
      <c r="N26" s="131">
        <f>I26+D26+'[1]ACP_Agri_9(i)'!D26</f>
        <v>14019.23</v>
      </c>
      <c r="O26" s="131">
        <f>J26+E26+'[1]ACP_Agri_9(i)'!E26</f>
        <v>1386</v>
      </c>
      <c r="P26" s="131">
        <f t="shared" si="2"/>
        <v>1728.5900000000001</v>
      </c>
      <c r="Q26" s="132">
        <f t="shared" si="3"/>
        <v>12.330135107277647</v>
      </c>
      <c r="R26" s="145">
        <f>'ACP_Agri_9(i)'!F26+'ACP_Agri_9(ii)'!F26+'ACP_Agri_9(ii)'!K26</f>
        <v>1728.5900000000001</v>
      </c>
    </row>
    <row r="27" spans="1:18" s="140" customFormat="1" ht="13.5">
      <c r="A27" s="142"/>
      <c r="B27" s="137" t="s">
        <v>293</v>
      </c>
      <c r="C27" s="138">
        <f>SUM(C6:C26)</f>
        <v>22844</v>
      </c>
      <c r="D27" s="138">
        <f aca="true" t="shared" si="4" ref="D27:P27">SUM(D6:D26)</f>
        <v>103913.17000000001</v>
      </c>
      <c r="E27" s="138">
        <f t="shared" si="4"/>
        <v>13987</v>
      </c>
      <c r="F27" s="138">
        <f t="shared" si="4"/>
        <v>32634.300000000003</v>
      </c>
      <c r="G27" s="129">
        <f t="shared" si="0"/>
        <v>31.40535506711998</v>
      </c>
      <c r="H27" s="138">
        <f t="shared" si="4"/>
        <v>18740</v>
      </c>
      <c r="I27" s="138">
        <f t="shared" si="4"/>
        <v>60343.2</v>
      </c>
      <c r="J27" s="138">
        <f t="shared" si="4"/>
        <v>24981</v>
      </c>
      <c r="K27" s="138">
        <f t="shared" si="4"/>
        <v>66235.77</v>
      </c>
      <c r="L27" s="129">
        <f t="shared" si="1"/>
        <v>109.76509366424055</v>
      </c>
      <c r="M27" s="138">
        <f t="shared" si="4"/>
        <v>853422</v>
      </c>
      <c r="N27" s="138">
        <f t="shared" si="4"/>
        <v>2637924.8799999994</v>
      </c>
      <c r="O27" s="138">
        <f t="shared" si="4"/>
        <v>440595</v>
      </c>
      <c r="P27" s="138">
        <f t="shared" si="4"/>
        <v>729166.7184413997</v>
      </c>
      <c r="Q27" s="129">
        <f t="shared" si="3"/>
        <v>27.641678653161645</v>
      </c>
      <c r="R27" s="145">
        <f>'ACP_Agri_9(i)'!F27+'ACP_Agri_9(ii)'!F27+'ACP_Agri_9(ii)'!K27</f>
        <v>729166.7184414</v>
      </c>
    </row>
    <row r="28" spans="1:18" s="85" customFormat="1" ht="13.5">
      <c r="A28" s="79">
        <v>22</v>
      </c>
      <c r="B28" s="130" t="s">
        <v>294</v>
      </c>
      <c r="C28" s="131">
        <v>2</v>
      </c>
      <c r="D28" s="131">
        <v>9.37</v>
      </c>
      <c r="E28" s="131">
        <v>0</v>
      </c>
      <c r="F28" s="131">
        <v>0</v>
      </c>
      <c r="G28" s="132">
        <f t="shared" si="0"/>
        <v>0</v>
      </c>
      <c r="H28" s="131">
        <v>1</v>
      </c>
      <c r="I28" s="131">
        <v>5.44</v>
      </c>
      <c r="J28" s="131">
        <v>0</v>
      </c>
      <c r="K28" s="131">
        <v>0</v>
      </c>
      <c r="L28" s="132">
        <f t="shared" si="1"/>
        <v>0</v>
      </c>
      <c r="M28" s="131">
        <f>H28+C28+'[1]ACP_Agri_9(i)'!C28</f>
        <v>68</v>
      </c>
      <c r="N28" s="131">
        <f>I28+D28+'[1]ACP_Agri_9(i)'!D28</f>
        <v>237.98</v>
      </c>
      <c r="O28" s="131">
        <f>J28+E28+'[1]ACP_Agri_9(i)'!E28</f>
        <v>0</v>
      </c>
      <c r="P28" s="131">
        <f t="shared" si="2"/>
        <v>0</v>
      </c>
      <c r="Q28" s="132">
        <f t="shared" si="3"/>
        <v>0</v>
      </c>
      <c r="R28" s="145">
        <f>'ACP_Agri_9(i)'!F28+'ACP_Agri_9(ii)'!F28+'ACP_Agri_9(ii)'!K28</f>
        <v>0</v>
      </c>
    </row>
    <row r="29" spans="1:18" s="85" customFormat="1" ht="13.5">
      <c r="A29" s="79">
        <v>23</v>
      </c>
      <c r="B29" s="130" t="s">
        <v>295</v>
      </c>
      <c r="C29" s="131">
        <v>1</v>
      </c>
      <c r="D29" s="131">
        <v>5.29</v>
      </c>
      <c r="E29" s="131">
        <v>0</v>
      </c>
      <c r="F29" s="131">
        <v>0</v>
      </c>
      <c r="G29" s="132">
        <f t="shared" si="0"/>
        <v>0</v>
      </c>
      <c r="H29" s="131">
        <v>1</v>
      </c>
      <c r="I29" s="131">
        <v>3.08</v>
      </c>
      <c r="J29" s="131">
        <v>0</v>
      </c>
      <c r="K29" s="131">
        <v>0</v>
      </c>
      <c r="L29" s="132">
        <f t="shared" si="1"/>
        <v>0</v>
      </c>
      <c r="M29" s="131">
        <f>H29+C29+'[1]ACP_Agri_9(i)'!C29</f>
        <v>30</v>
      </c>
      <c r="N29" s="131">
        <f>I29+D29+'[1]ACP_Agri_9(i)'!D29</f>
        <v>134.43</v>
      </c>
      <c r="O29" s="131">
        <f>J29+E29+'[1]ACP_Agri_9(i)'!E29</f>
        <v>0</v>
      </c>
      <c r="P29" s="131">
        <f t="shared" si="2"/>
        <v>0</v>
      </c>
      <c r="Q29" s="132">
        <f t="shared" si="3"/>
        <v>0</v>
      </c>
      <c r="R29" s="145">
        <f>'ACP_Agri_9(i)'!F29+'ACP_Agri_9(ii)'!F29+'ACP_Agri_9(ii)'!K29</f>
        <v>0</v>
      </c>
    </row>
    <row r="30" spans="1:18" s="85" customFormat="1" ht="13.5">
      <c r="A30" s="79">
        <v>24</v>
      </c>
      <c r="B30" s="130" t="s">
        <v>296</v>
      </c>
      <c r="C30" s="131">
        <v>10</v>
      </c>
      <c r="D30" s="131">
        <v>26.81</v>
      </c>
      <c r="E30" s="131">
        <v>0</v>
      </c>
      <c r="F30" s="131">
        <v>0</v>
      </c>
      <c r="G30" s="132">
        <f t="shared" si="0"/>
        <v>0</v>
      </c>
      <c r="H30" s="131">
        <v>6</v>
      </c>
      <c r="I30" s="131">
        <v>15.57</v>
      </c>
      <c r="J30" s="131">
        <v>0</v>
      </c>
      <c r="K30" s="131">
        <v>0</v>
      </c>
      <c r="L30" s="132">
        <f t="shared" si="1"/>
        <v>0</v>
      </c>
      <c r="M30" s="131">
        <f>H30+C30+'[1]ACP_Agri_9(i)'!C30</f>
        <v>337</v>
      </c>
      <c r="N30" s="131">
        <f>I30+D30+'[1]ACP_Agri_9(i)'!D30</f>
        <v>680.73</v>
      </c>
      <c r="O30" s="131">
        <f>J30+E30+'[1]ACP_Agri_9(i)'!E30</f>
        <v>0</v>
      </c>
      <c r="P30" s="131">
        <f t="shared" si="2"/>
        <v>0</v>
      </c>
      <c r="Q30" s="132">
        <f t="shared" si="3"/>
        <v>0</v>
      </c>
      <c r="R30" s="145">
        <f>'ACP_Agri_9(i)'!F30+'ACP_Agri_9(ii)'!F30+'ACP_Agri_9(ii)'!K30</f>
        <v>0</v>
      </c>
    </row>
    <row r="31" spans="1:18" s="85" customFormat="1" ht="13.5">
      <c r="A31" s="79">
        <v>25</v>
      </c>
      <c r="B31" s="133" t="s">
        <v>297</v>
      </c>
      <c r="C31" s="131">
        <v>4</v>
      </c>
      <c r="D31" s="131">
        <v>18.3</v>
      </c>
      <c r="E31" s="131">
        <v>0</v>
      </c>
      <c r="F31" s="131">
        <v>0</v>
      </c>
      <c r="G31" s="132">
        <f t="shared" si="0"/>
        <v>0</v>
      </c>
      <c r="H31" s="131">
        <v>2</v>
      </c>
      <c r="I31" s="131">
        <v>10.64</v>
      </c>
      <c r="J31" s="131">
        <v>0</v>
      </c>
      <c r="K31" s="131">
        <v>0</v>
      </c>
      <c r="L31" s="132">
        <f t="shared" si="1"/>
        <v>0</v>
      </c>
      <c r="M31" s="131">
        <f>H31+C31+'[1]ACP_Agri_9(i)'!C31</f>
        <v>131</v>
      </c>
      <c r="N31" s="131">
        <f>I31+D31+'[1]ACP_Agri_9(i)'!D31</f>
        <v>464.75</v>
      </c>
      <c r="O31" s="131">
        <f>J31+E31+'[1]ACP_Agri_9(i)'!E31</f>
        <v>0</v>
      </c>
      <c r="P31" s="131">
        <f t="shared" si="2"/>
        <v>0</v>
      </c>
      <c r="Q31" s="132">
        <f t="shared" si="3"/>
        <v>0</v>
      </c>
      <c r="R31" s="145">
        <f>'ACP_Agri_9(i)'!F31+'ACP_Agri_9(ii)'!F31+'ACP_Agri_9(ii)'!K31</f>
        <v>0</v>
      </c>
    </row>
    <row r="32" spans="1:18" s="85" customFormat="1" ht="13.5">
      <c r="A32" s="79">
        <v>26</v>
      </c>
      <c r="B32" s="130" t="s">
        <v>298</v>
      </c>
      <c r="C32" s="131">
        <v>22</v>
      </c>
      <c r="D32" s="131">
        <v>122.67</v>
      </c>
      <c r="E32" s="131">
        <v>0</v>
      </c>
      <c r="F32" s="131">
        <v>0</v>
      </c>
      <c r="G32" s="132">
        <f t="shared" si="0"/>
        <v>0</v>
      </c>
      <c r="H32" s="131">
        <v>15</v>
      </c>
      <c r="I32" s="131">
        <v>71.25</v>
      </c>
      <c r="J32" s="131">
        <v>6</v>
      </c>
      <c r="K32" s="131">
        <v>20</v>
      </c>
      <c r="L32" s="132">
        <f t="shared" si="1"/>
        <v>28.07017543859649</v>
      </c>
      <c r="M32" s="131">
        <f>H32+C32+'[1]ACP_Agri_9(i)'!C32</f>
        <v>796</v>
      </c>
      <c r="N32" s="131">
        <f>I32+D32+'[1]ACP_Agri_9(i)'!D32</f>
        <v>3114.82</v>
      </c>
      <c r="O32" s="131">
        <f>J32+E32+'[1]ACP_Agri_9(i)'!E32</f>
        <v>299</v>
      </c>
      <c r="P32" s="131">
        <f t="shared" si="2"/>
        <v>707.86</v>
      </c>
      <c r="Q32" s="132">
        <f t="shared" si="3"/>
        <v>22.725550754136673</v>
      </c>
      <c r="R32" s="145">
        <f>'ACP_Agri_9(i)'!F32+'ACP_Agri_9(ii)'!F32+'ACP_Agri_9(ii)'!K32</f>
        <v>707.86</v>
      </c>
    </row>
    <row r="33" spans="1:18" s="85" customFormat="1" ht="13.5">
      <c r="A33" s="79">
        <v>27</v>
      </c>
      <c r="B33" s="130" t="s">
        <v>72</v>
      </c>
      <c r="C33" s="131">
        <v>16282</v>
      </c>
      <c r="D33" s="131">
        <v>77568.62</v>
      </c>
      <c r="E33" s="131">
        <v>0</v>
      </c>
      <c r="F33" s="131">
        <v>0</v>
      </c>
      <c r="G33" s="132">
        <f t="shared" si="0"/>
        <v>0</v>
      </c>
      <c r="H33" s="131">
        <v>11224</v>
      </c>
      <c r="I33" s="131">
        <v>45055.82</v>
      </c>
      <c r="J33" s="131">
        <v>0</v>
      </c>
      <c r="K33" s="131">
        <v>0</v>
      </c>
      <c r="L33" s="132">
        <f t="shared" si="1"/>
        <v>0</v>
      </c>
      <c r="M33" s="131">
        <f>H33+C33+'[1]ACP_Agri_9(i)'!C33</f>
        <v>606624</v>
      </c>
      <c r="N33" s="131">
        <f>I33+D33+'[1]ACP_Agri_9(i)'!D33</f>
        <v>1969582.8499999999</v>
      </c>
      <c r="O33" s="131">
        <f>J33+E33+'[1]ACP_Agri_9(i)'!E33</f>
        <v>146222</v>
      </c>
      <c r="P33" s="131">
        <f t="shared" si="2"/>
        <v>281884</v>
      </c>
      <c r="Q33" s="132">
        <f t="shared" si="3"/>
        <v>14.31186304247115</v>
      </c>
      <c r="R33" s="145">
        <f>'ACP_Agri_9(i)'!F33+'ACP_Agri_9(ii)'!F33+'ACP_Agri_9(ii)'!K33</f>
        <v>281884</v>
      </c>
    </row>
    <row r="34" spans="1:18" s="140" customFormat="1" ht="13.5">
      <c r="A34" s="142"/>
      <c r="B34" s="137" t="s">
        <v>299</v>
      </c>
      <c r="C34" s="138">
        <f>SUM(C28:C33)</f>
        <v>16321</v>
      </c>
      <c r="D34" s="138">
        <f aca="true" t="shared" si="5" ref="D34:P34">SUM(D28:D33)</f>
        <v>77751.06</v>
      </c>
      <c r="E34" s="138">
        <f t="shared" si="5"/>
        <v>0</v>
      </c>
      <c r="F34" s="138">
        <f t="shared" si="5"/>
        <v>0</v>
      </c>
      <c r="G34" s="129">
        <f t="shared" si="0"/>
        <v>0</v>
      </c>
      <c r="H34" s="138">
        <f t="shared" si="5"/>
        <v>11249</v>
      </c>
      <c r="I34" s="138">
        <f t="shared" si="5"/>
        <v>45161.8</v>
      </c>
      <c r="J34" s="138">
        <f t="shared" si="5"/>
        <v>6</v>
      </c>
      <c r="K34" s="138">
        <f t="shared" si="5"/>
        <v>20</v>
      </c>
      <c r="L34" s="129">
        <f t="shared" si="1"/>
        <v>0.044285214495436404</v>
      </c>
      <c r="M34" s="138">
        <f t="shared" si="5"/>
        <v>607986</v>
      </c>
      <c r="N34" s="138">
        <f t="shared" si="5"/>
        <v>1974215.5599999998</v>
      </c>
      <c r="O34" s="138">
        <f t="shared" si="5"/>
        <v>146521</v>
      </c>
      <c r="P34" s="138">
        <f t="shared" si="5"/>
        <v>282591.86</v>
      </c>
      <c r="Q34" s="129">
        <f t="shared" si="3"/>
        <v>14.314133964175625</v>
      </c>
      <c r="R34" s="145">
        <f>'ACP_Agri_9(i)'!F34+'ACP_Agri_9(ii)'!F34+'ACP_Agri_9(ii)'!K34</f>
        <v>282591.86</v>
      </c>
    </row>
    <row r="35" spans="1:18" s="85" customFormat="1" ht="13.5">
      <c r="A35" s="79">
        <v>28</v>
      </c>
      <c r="B35" s="130" t="s">
        <v>49</v>
      </c>
      <c r="C35" s="131">
        <v>644</v>
      </c>
      <c r="D35" s="131">
        <v>2736.29</v>
      </c>
      <c r="E35" s="131">
        <v>260</v>
      </c>
      <c r="F35" s="131">
        <v>943.22</v>
      </c>
      <c r="G35" s="132">
        <f t="shared" si="0"/>
        <v>34.47076150554218</v>
      </c>
      <c r="H35" s="131">
        <v>444</v>
      </c>
      <c r="I35" s="131">
        <v>1589.38</v>
      </c>
      <c r="J35" s="131">
        <v>9</v>
      </c>
      <c r="K35" s="131">
        <v>134.46</v>
      </c>
      <c r="L35" s="132">
        <f t="shared" si="1"/>
        <v>8.459902603530937</v>
      </c>
      <c r="M35" s="131">
        <f>H35+C35+'[1]ACP_Agri_9(i)'!C35</f>
        <v>23960</v>
      </c>
      <c r="N35" s="131">
        <f>I35+D35+'[1]ACP_Agri_9(i)'!D35</f>
        <v>69478.5</v>
      </c>
      <c r="O35" s="131">
        <f>J35+E35+'[1]ACP_Agri_9(i)'!E35</f>
        <v>13974</v>
      </c>
      <c r="P35" s="131">
        <f t="shared" si="2"/>
        <v>10392.479999999998</v>
      </c>
      <c r="Q35" s="132">
        <f t="shared" si="3"/>
        <v>14.957835877285776</v>
      </c>
      <c r="R35" s="145">
        <f>'ACP_Agri_9(i)'!F35+'ACP_Agri_9(ii)'!F35+'ACP_Agri_9(ii)'!K35</f>
        <v>10392.479999999998</v>
      </c>
    </row>
    <row r="36" spans="1:18" s="85" customFormat="1" ht="13.5">
      <c r="A36" s="79">
        <v>29</v>
      </c>
      <c r="B36" s="80" t="s">
        <v>53</v>
      </c>
      <c r="C36" s="131">
        <v>0</v>
      </c>
      <c r="D36" s="131">
        <v>0</v>
      </c>
      <c r="E36" s="131">
        <v>0</v>
      </c>
      <c r="F36" s="131">
        <v>0</v>
      </c>
      <c r="G36" s="132">
        <v>0</v>
      </c>
      <c r="H36" s="131">
        <v>0</v>
      </c>
      <c r="I36" s="131">
        <v>0</v>
      </c>
      <c r="J36" s="131">
        <v>0</v>
      </c>
      <c r="K36" s="131">
        <v>0</v>
      </c>
      <c r="L36" s="132">
        <v>0</v>
      </c>
      <c r="M36" s="131">
        <f>H36+C36+'[1]ACP_Agri_9(i)'!C36</f>
        <v>0</v>
      </c>
      <c r="N36" s="131">
        <f>I36+D36+'[1]ACP_Agri_9(i)'!D36</f>
        <v>0</v>
      </c>
      <c r="O36" s="131">
        <f>J36+E36+'[1]ACP_Agri_9(i)'!E36</f>
        <v>0</v>
      </c>
      <c r="P36" s="131">
        <f t="shared" si="2"/>
        <v>0</v>
      </c>
      <c r="Q36" s="132">
        <v>0</v>
      </c>
      <c r="R36" s="145">
        <f>'ACP_Agri_9(i)'!F36+'ACP_Agri_9(ii)'!F36+'ACP_Agri_9(ii)'!K36</f>
        <v>0</v>
      </c>
    </row>
    <row r="37" spans="1:18" s="85" customFormat="1" ht="13.5">
      <c r="A37" s="79">
        <v>30</v>
      </c>
      <c r="B37" s="80" t="s">
        <v>300</v>
      </c>
      <c r="C37" s="131">
        <v>11</v>
      </c>
      <c r="D37" s="131">
        <v>36.67</v>
      </c>
      <c r="E37" s="131">
        <v>0</v>
      </c>
      <c r="F37" s="131">
        <v>0</v>
      </c>
      <c r="G37" s="132">
        <f t="shared" si="0"/>
        <v>0</v>
      </c>
      <c r="H37" s="131">
        <v>8</v>
      </c>
      <c r="I37" s="131">
        <v>21.3</v>
      </c>
      <c r="J37" s="131">
        <v>0</v>
      </c>
      <c r="K37" s="131">
        <v>0</v>
      </c>
      <c r="L37" s="132">
        <f t="shared" si="1"/>
        <v>0</v>
      </c>
      <c r="M37" s="131">
        <f>H37+C37+'[1]ACP_Agri_9(i)'!C37</f>
        <v>420</v>
      </c>
      <c r="N37" s="131">
        <f>I37+D37+'[1]ACP_Agri_9(i)'!D37</f>
        <v>931.0500000000001</v>
      </c>
      <c r="O37" s="131">
        <f>J37+E37+'[1]ACP_Agri_9(i)'!E37</f>
        <v>0</v>
      </c>
      <c r="P37" s="131">
        <f t="shared" si="2"/>
        <v>0</v>
      </c>
      <c r="Q37" s="132">
        <f t="shared" si="3"/>
        <v>0</v>
      </c>
      <c r="R37" s="145">
        <f>'ACP_Agri_9(i)'!F37+'ACP_Agri_9(ii)'!F37+'ACP_Agri_9(ii)'!K37</f>
        <v>0</v>
      </c>
    </row>
    <row r="38" spans="1:18" s="85" customFormat="1" ht="13.5">
      <c r="A38" s="79">
        <v>31</v>
      </c>
      <c r="B38" s="130" t="s">
        <v>301</v>
      </c>
      <c r="C38" s="131">
        <v>1</v>
      </c>
      <c r="D38" s="131">
        <v>5.29</v>
      </c>
      <c r="E38" s="131">
        <v>0</v>
      </c>
      <c r="F38" s="131">
        <v>0</v>
      </c>
      <c r="G38" s="132">
        <f t="shared" si="0"/>
        <v>0</v>
      </c>
      <c r="H38" s="131">
        <v>1</v>
      </c>
      <c r="I38" s="131">
        <v>3.08</v>
      </c>
      <c r="J38" s="131">
        <v>0</v>
      </c>
      <c r="K38" s="131">
        <v>0</v>
      </c>
      <c r="L38" s="132">
        <f t="shared" si="1"/>
        <v>0</v>
      </c>
      <c r="M38" s="131">
        <f>H38+C38+'[1]ACP_Agri_9(i)'!C38</f>
        <v>30</v>
      </c>
      <c r="N38" s="131">
        <f>I38+D38+'[1]ACP_Agri_9(i)'!D38</f>
        <v>134.43</v>
      </c>
      <c r="O38" s="131">
        <f>J38+E38+'[1]ACP_Agri_9(i)'!E38</f>
        <v>0</v>
      </c>
      <c r="P38" s="131">
        <f t="shared" si="2"/>
        <v>0</v>
      </c>
      <c r="Q38" s="132">
        <f t="shared" si="3"/>
        <v>0</v>
      </c>
      <c r="R38" s="145">
        <f>'ACP_Agri_9(i)'!F38+'ACP_Agri_9(ii)'!F38+'ACP_Agri_9(ii)'!K38</f>
        <v>0</v>
      </c>
    </row>
    <row r="39" spans="1:18" s="85" customFormat="1" ht="13.5">
      <c r="A39" s="79">
        <v>32</v>
      </c>
      <c r="B39" s="130" t="s">
        <v>302</v>
      </c>
      <c r="C39" s="131">
        <v>20</v>
      </c>
      <c r="D39" s="131">
        <v>114.94</v>
      </c>
      <c r="E39" s="131">
        <v>1</v>
      </c>
      <c r="F39" s="131">
        <v>40.02</v>
      </c>
      <c r="G39" s="132">
        <f t="shared" si="0"/>
        <v>34.818165999651995</v>
      </c>
      <c r="H39" s="131">
        <v>14</v>
      </c>
      <c r="I39" s="131">
        <v>66.77</v>
      </c>
      <c r="J39" s="131">
        <v>7</v>
      </c>
      <c r="K39" s="131">
        <v>11</v>
      </c>
      <c r="L39" s="132">
        <f t="shared" si="1"/>
        <v>16.474464579901156</v>
      </c>
      <c r="M39" s="131">
        <f>H39+C39+'[1]ACP_Agri_9(i)'!C39</f>
        <v>706</v>
      </c>
      <c r="N39" s="131">
        <f>I39+D39+'[1]ACP_Agri_9(i)'!D39</f>
        <v>2918.6</v>
      </c>
      <c r="O39" s="131">
        <f>J39+E39+'[1]ACP_Agri_9(i)'!E39</f>
        <v>536</v>
      </c>
      <c r="P39" s="131">
        <f t="shared" si="2"/>
        <v>1487.56</v>
      </c>
      <c r="Q39" s="132">
        <f t="shared" si="3"/>
        <v>50.96827245939834</v>
      </c>
      <c r="R39" s="145">
        <f>'ACP_Agri_9(i)'!F39+'ACP_Agri_9(ii)'!F39+'ACP_Agri_9(ii)'!K39</f>
        <v>1487.56</v>
      </c>
    </row>
    <row r="40" spans="1:18" s="85" customFormat="1" ht="13.5">
      <c r="A40" s="79">
        <v>33</v>
      </c>
      <c r="B40" s="130" t="s">
        <v>303</v>
      </c>
      <c r="C40" s="131">
        <v>830</v>
      </c>
      <c r="D40" s="131">
        <v>4637.78</v>
      </c>
      <c r="E40" s="131">
        <v>1</v>
      </c>
      <c r="F40" s="131">
        <v>20</v>
      </c>
      <c r="G40" s="132">
        <f t="shared" si="0"/>
        <v>0.43124080918025437</v>
      </c>
      <c r="H40" s="131">
        <v>572</v>
      </c>
      <c r="I40" s="131">
        <v>2693.86</v>
      </c>
      <c r="J40" s="131">
        <v>353</v>
      </c>
      <c r="K40" s="131">
        <v>12263.740852299998</v>
      </c>
      <c r="L40" s="132">
        <f t="shared" si="1"/>
        <v>455.24789158679357</v>
      </c>
      <c r="M40" s="131">
        <f>H40+C40+'[1]ACP_Agri_9(i)'!C40</f>
        <v>30928</v>
      </c>
      <c r="N40" s="131">
        <f>I40+D40+'[1]ACP_Agri_9(i)'!D40</f>
        <v>117760.22</v>
      </c>
      <c r="O40" s="131">
        <f>J40+E40+'[1]ACP_Agri_9(i)'!E40</f>
        <v>11325</v>
      </c>
      <c r="P40" s="131">
        <f t="shared" si="2"/>
        <v>50039.4708663</v>
      </c>
      <c r="Q40" s="132">
        <f t="shared" si="3"/>
        <v>42.492677804355324</v>
      </c>
      <c r="R40" s="145">
        <f>'ACP_Agri_9(i)'!F40+'ACP_Agri_9(ii)'!F40+'ACP_Agri_9(ii)'!K40</f>
        <v>50039.4708663</v>
      </c>
    </row>
    <row r="41" spans="1:18" s="85" customFormat="1" ht="13.5">
      <c r="A41" s="79">
        <v>34</v>
      </c>
      <c r="B41" s="130" t="s">
        <v>304</v>
      </c>
      <c r="C41" s="131">
        <v>868</v>
      </c>
      <c r="D41" s="131">
        <v>4430.52</v>
      </c>
      <c r="E41" s="131">
        <v>128.349</v>
      </c>
      <c r="F41" s="131">
        <v>1935.99416858175</v>
      </c>
      <c r="G41" s="132">
        <f t="shared" si="0"/>
        <v>43.69677077593036</v>
      </c>
      <c r="H41" s="131">
        <v>566</v>
      </c>
      <c r="I41" s="131">
        <v>2573.47</v>
      </c>
      <c r="J41" s="131">
        <v>85.566</v>
      </c>
      <c r="K41" s="131">
        <v>9249.74991655725</v>
      </c>
      <c r="L41" s="132">
        <f t="shared" si="1"/>
        <v>359.4271515330371</v>
      </c>
      <c r="M41" s="131">
        <f>H41+C41+'[1]ACP_Agri_9(i)'!C41</f>
        <v>32319</v>
      </c>
      <c r="N41" s="131">
        <f>I41+D41+'[1]ACP_Agri_9(i)'!D41</f>
        <v>112497.40000000001</v>
      </c>
      <c r="O41" s="131">
        <f>J41+E41+'[1]ACP_Agri_9(i)'!E41</f>
        <v>42783</v>
      </c>
      <c r="P41" s="131">
        <f t="shared" si="2"/>
        <v>86044.1852703</v>
      </c>
      <c r="Q41" s="132">
        <f t="shared" si="3"/>
        <v>76.48548790487602</v>
      </c>
      <c r="R41" s="145">
        <f>'ACP_Agri_9(i)'!F41+'ACP_Agri_9(ii)'!F41+'ACP_Agri_9(ii)'!K41</f>
        <v>86044.1852703</v>
      </c>
    </row>
    <row r="42" spans="1:18" s="85" customFormat="1" ht="13.5">
      <c r="A42" s="79">
        <v>35</v>
      </c>
      <c r="B42" s="130" t="s">
        <v>305</v>
      </c>
      <c r="C42" s="131">
        <v>72</v>
      </c>
      <c r="D42" s="131">
        <v>248.32</v>
      </c>
      <c r="E42" s="131">
        <v>0</v>
      </c>
      <c r="F42" s="131">
        <v>0</v>
      </c>
      <c r="G42" s="132">
        <f t="shared" si="0"/>
        <v>0</v>
      </c>
      <c r="H42" s="131">
        <v>50</v>
      </c>
      <c r="I42" s="131">
        <v>144.24</v>
      </c>
      <c r="J42" s="131">
        <v>11</v>
      </c>
      <c r="K42" s="131">
        <v>32</v>
      </c>
      <c r="L42" s="132">
        <f t="shared" si="1"/>
        <v>22.18524681087077</v>
      </c>
      <c r="M42" s="131">
        <f>H42+C42+'[1]ACP_Agri_9(i)'!C42</f>
        <v>2639</v>
      </c>
      <c r="N42" s="131">
        <f>I42+D42+'[1]ACP_Agri_9(i)'!D42</f>
        <v>6305.29</v>
      </c>
      <c r="O42" s="131">
        <f>J42+E42+'[1]ACP_Agri_9(i)'!E42</f>
        <v>1512</v>
      </c>
      <c r="P42" s="131">
        <f t="shared" si="2"/>
        <v>2948</v>
      </c>
      <c r="Q42" s="132">
        <f t="shared" si="3"/>
        <v>46.754391947079355</v>
      </c>
      <c r="R42" s="145">
        <f>'ACP_Agri_9(i)'!F42+'ACP_Agri_9(ii)'!F42+'ACP_Agri_9(ii)'!K42</f>
        <v>2948</v>
      </c>
    </row>
    <row r="43" spans="1:18" s="85" customFormat="1" ht="13.5">
      <c r="A43" s="79">
        <v>36</v>
      </c>
      <c r="B43" s="130" t="s">
        <v>255</v>
      </c>
      <c r="C43" s="131">
        <v>112</v>
      </c>
      <c r="D43" s="131">
        <v>172.64</v>
      </c>
      <c r="E43" s="131">
        <v>0</v>
      </c>
      <c r="F43" s="131">
        <v>0</v>
      </c>
      <c r="G43" s="132">
        <f t="shared" si="0"/>
        <v>0</v>
      </c>
      <c r="H43" s="131">
        <v>32</v>
      </c>
      <c r="I43" s="131">
        <v>128</v>
      </c>
      <c r="J43" s="131">
        <v>0</v>
      </c>
      <c r="K43" s="131">
        <v>0</v>
      </c>
      <c r="L43" s="132">
        <f t="shared" si="1"/>
        <v>0</v>
      </c>
      <c r="M43" s="131">
        <f>H43+C43+'[1]ACP_Agri_9(i)'!C43</f>
        <v>839</v>
      </c>
      <c r="N43" s="131">
        <f>I43+D43+'[1]ACP_Agri_9(i)'!D43</f>
        <v>817.62</v>
      </c>
      <c r="O43" s="131">
        <f>J43+E43+'[1]ACP_Agri_9(i)'!E43</f>
        <v>3485</v>
      </c>
      <c r="P43" s="131">
        <f t="shared" si="2"/>
        <v>1254</v>
      </c>
      <c r="Q43" s="132">
        <f t="shared" si="3"/>
        <v>153.37198209437148</v>
      </c>
      <c r="R43" s="145">
        <f>'ACP_Agri_9(i)'!F43+'ACP_Agri_9(ii)'!F43+'ACP_Agri_9(ii)'!K43</f>
        <v>1254</v>
      </c>
    </row>
    <row r="44" spans="1:18" s="85" customFormat="1" ht="13.5">
      <c r="A44" s="79">
        <v>37</v>
      </c>
      <c r="B44" s="130" t="s">
        <v>306</v>
      </c>
      <c r="C44" s="131">
        <v>2</v>
      </c>
      <c r="D44" s="131">
        <v>13.43</v>
      </c>
      <c r="E44" s="131">
        <v>0</v>
      </c>
      <c r="F44" s="131">
        <v>0</v>
      </c>
      <c r="G44" s="132">
        <f t="shared" si="0"/>
        <v>0</v>
      </c>
      <c r="H44" s="131">
        <v>1</v>
      </c>
      <c r="I44" s="131">
        <v>7.8</v>
      </c>
      <c r="J44" s="131">
        <v>0</v>
      </c>
      <c r="K44" s="131">
        <v>0</v>
      </c>
      <c r="L44" s="132">
        <f t="shared" si="1"/>
        <v>0</v>
      </c>
      <c r="M44" s="131">
        <f>H44+C44+'[1]ACP_Agri_9(i)'!C44</f>
        <v>77</v>
      </c>
      <c r="N44" s="131">
        <f>I44+D44+'[1]ACP_Agri_9(i)'!D44</f>
        <v>340.91</v>
      </c>
      <c r="O44" s="131">
        <f>J44+E44+'[1]ACP_Agri_9(i)'!E44</f>
        <v>4</v>
      </c>
      <c r="P44" s="131">
        <f t="shared" si="2"/>
        <v>20</v>
      </c>
      <c r="Q44" s="132">
        <f t="shared" si="3"/>
        <v>5.86665102226394</v>
      </c>
      <c r="R44" s="145">
        <f>'ACP_Agri_9(i)'!F44+'ACP_Agri_9(ii)'!F44+'ACP_Agri_9(ii)'!K44</f>
        <v>20</v>
      </c>
    </row>
    <row r="45" spans="1:18" s="85" customFormat="1" ht="13.5">
      <c r="A45" s="79">
        <v>38</v>
      </c>
      <c r="B45" s="130" t="s">
        <v>307</v>
      </c>
      <c r="C45" s="131">
        <v>12</v>
      </c>
      <c r="D45" s="131">
        <v>46.49</v>
      </c>
      <c r="E45" s="131">
        <v>0</v>
      </c>
      <c r="F45" s="131">
        <v>0</v>
      </c>
      <c r="G45" s="132">
        <f t="shared" si="0"/>
        <v>0</v>
      </c>
      <c r="H45" s="131">
        <v>8</v>
      </c>
      <c r="I45" s="131">
        <v>27.02</v>
      </c>
      <c r="J45" s="131">
        <v>0</v>
      </c>
      <c r="K45" s="131">
        <v>0</v>
      </c>
      <c r="L45" s="132">
        <f t="shared" si="1"/>
        <v>0</v>
      </c>
      <c r="M45" s="131">
        <f>H45+C45+'[1]ACP_Agri_9(i)'!C45</f>
        <v>404</v>
      </c>
      <c r="N45" s="131">
        <f>I45+D45+'[1]ACP_Agri_9(i)'!D45</f>
        <v>1180.53</v>
      </c>
      <c r="O45" s="131">
        <f>J45+E45+'[1]ACP_Agri_9(i)'!E45</f>
        <v>88</v>
      </c>
      <c r="P45" s="131">
        <f t="shared" si="2"/>
        <v>832</v>
      </c>
      <c r="Q45" s="132">
        <f t="shared" si="3"/>
        <v>70.47681973350953</v>
      </c>
      <c r="R45" s="145">
        <f>'ACP_Agri_9(i)'!F45+'ACP_Agri_9(ii)'!F45+'ACP_Agri_9(ii)'!K45</f>
        <v>832</v>
      </c>
    </row>
    <row r="46" spans="1:18" s="85" customFormat="1" ht="13.5">
      <c r="A46" s="79">
        <v>39</v>
      </c>
      <c r="B46" s="130" t="s">
        <v>95</v>
      </c>
      <c r="C46" s="131">
        <v>0</v>
      </c>
      <c r="D46" s="131">
        <v>0</v>
      </c>
      <c r="E46" s="131">
        <v>0</v>
      </c>
      <c r="F46" s="131">
        <v>0</v>
      </c>
      <c r="G46" s="132">
        <v>0</v>
      </c>
      <c r="H46" s="131">
        <v>0</v>
      </c>
      <c r="I46" s="131">
        <v>0</v>
      </c>
      <c r="J46" s="131">
        <v>0</v>
      </c>
      <c r="K46" s="131">
        <v>0</v>
      </c>
      <c r="L46" s="132">
        <v>0</v>
      </c>
      <c r="M46" s="131">
        <f>H46+C46+'[1]ACP_Agri_9(i)'!C46</f>
        <v>0</v>
      </c>
      <c r="N46" s="131">
        <f>I46+D46+'[1]ACP_Agri_9(i)'!D46</f>
        <v>0</v>
      </c>
      <c r="O46" s="131">
        <f>J46+E46+'[1]ACP_Agri_9(i)'!E46</f>
        <v>0</v>
      </c>
      <c r="P46" s="131">
        <f t="shared" si="2"/>
        <v>0</v>
      </c>
      <c r="Q46" s="132">
        <v>0</v>
      </c>
      <c r="R46" s="145">
        <f>'ACP_Agri_9(i)'!F46+'ACP_Agri_9(ii)'!F46+'ACP_Agri_9(ii)'!K46</f>
        <v>0</v>
      </c>
    </row>
    <row r="47" spans="1:18" s="85" customFormat="1" ht="13.5">
      <c r="A47" s="79">
        <v>40</v>
      </c>
      <c r="B47" s="130" t="s">
        <v>308</v>
      </c>
      <c r="C47" s="131">
        <v>136</v>
      </c>
      <c r="D47" s="131">
        <v>831.6</v>
      </c>
      <c r="E47" s="131">
        <v>0</v>
      </c>
      <c r="F47" s="131">
        <v>0</v>
      </c>
      <c r="G47" s="132">
        <f t="shared" si="0"/>
        <v>0</v>
      </c>
      <c r="H47" s="131">
        <v>93</v>
      </c>
      <c r="I47" s="131">
        <v>483.04</v>
      </c>
      <c r="J47" s="131">
        <v>0</v>
      </c>
      <c r="K47" s="131">
        <v>0</v>
      </c>
      <c r="L47" s="132">
        <f t="shared" si="1"/>
        <v>0</v>
      </c>
      <c r="M47" s="131">
        <f>H47+C47+'[1]ACP_Agri_9(i)'!C47</f>
        <v>5031</v>
      </c>
      <c r="N47" s="131">
        <f>I47+D47+'[1]ACP_Agri_9(i)'!D47</f>
        <v>21115.61</v>
      </c>
      <c r="O47" s="131">
        <f>J47+E47+'[1]ACP_Agri_9(i)'!E47</f>
        <v>0</v>
      </c>
      <c r="P47" s="131">
        <f t="shared" si="2"/>
        <v>0</v>
      </c>
      <c r="Q47" s="132">
        <f t="shared" si="3"/>
        <v>0</v>
      </c>
      <c r="R47" s="145">
        <f>'ACP_Agri_9(i)'!F47+'ACP_Agri_9(ii)'!F47+'ACP_Agri_9(ii)'!K47</f>
        <v>0</v>
      </c>
    </row>
    <row r="48" spans="1:18" s="85" customFormat="1" ht="13.5">
      <c r="A48" s="79">
        <v>41</v>
      </c>
      <c r="B48" s="130" t="s">
        <v>309</v>
      </c>
      <c r="C48" s="131">
        <v>0</v>
      </c>
      <c r="D48" s="131">
        <v>0</v>
      </c>
      <c r="E48" s="131">
        <v>0</v>
      </c>
      <c r="F48" s="131">
        <v>0</v>
      </c>
      <c r="G48" s="132">
        <v>0</v>
      </c>
      <c r="H48" s="131">
        <v>0</v>
      </c>
      <c r="I48" s="131">
        <v>0</v>
      </c>
      <c r="J48" s="131">
        <v>0</v>
      </c>
      <c r="K48" s="131">
        <v>0</v>
      </c>
      <c r="L48" s="132">
        <v>0</v>
      </c>
      <c r="M48" s="131">
        <f>H48+C48+'[1]ACP_Agri_9(i)'!C48</f>
        <v>0</v>
      </c>
      <c r="N48" s="131">
        <f>I48+D48+'[1]ACP_Agri_9(i)'!D48</f>
        <v>0</v>
      </c>
      <c r="O48" s="131">
        <f>J48+E48+'[1]ACP_Agri_9(i)'!E48</f>
        <v>0</v>
      </c>
      <c r="P48" s="131">
        <f t="shared" si="2"/>
        <v>0</v>
      </c>
      <c r="Q48" s="132">
        <v>0</v>
      </c>
      <c r="R48" s="145">
        <f>'ACP_Agri_9(i)'!F48+'ACP_Agri_9(ii)'!F48+'ACP_Agri_9(ii)'!K48</f>
        <v>0</v>
      </c>
    </row>
    <row r="49" spans="1:18" s="85" customFormat="1" ht="13.5">
      <c r="A49" s="79">
        <v>42</v>
      </c>
      <c r="B49" s="139" t="s">
        <v>310</v>
      </c>
      <c r="C49" s="131">
        <v>1</v>
      </c>
      <c r="D49" s="131">
        <v>5.29</v>
      </c>
      <c r="E49" s="131">
        <v>0</v>
      </c>
      <c r="F49" s="131">
        <v>0</v>
      </c>
      <c r="G49" s="132">
        <f t="shared" si="0"/>
        <v>0</v>
      </c>
      <c r="H49" s="131">
        <v>1</v>
      </c>
      <c r="I49" s="131">
        <v>3.08</v>
      </c>
      <c r="J49" s="131">
        <v>0</v>
      </c>
      <c r="K49" s="131">
        <v>0</v>
      </c>
      <c r="L49" s="132">
        <f t="shared" si="1"/>
        <v>0</v>
      </c>
      <c r="M49" s="131">
        <f>H49+C49+'[1]ACP_Agri_9(i)'!C49</f>
        <v>30</v>
      </c>
      <c r="N49" s="131">
        <f>I49+D49+'[1]ACP_Agri_9(i)'!D49</f>
        <v>134.43</v>
      </c>
      <c r="O49" s="131">
        <f>J49+E49+'[1]ACP_Agri_9(i)'!E49</f>
        <v>0</v>
      </c>
      <c r="P49" s="131">
        <f t="shared" si="2"/>
        <v>0</v>
      </c>
      <c r="Q49" s="132">
        <f t="shared" si="3"/>
        <v>0</v>
      </c>
      <c r="R49" s="145">
        <f>'ACP_Agri_9(i)'!F49+'ACP_Agri_9(ii)'!F49+'ACP_Agri_9(ii)'!K49</f>
        <v>0</v>
      </c>
    </row>
    <row r="50" spans="1:18" s="85" customFormat="1" ht="13.5">
      <c r="A50" s="79">
        <v>43</v>
      </c>
      <c r="B50" s="130" t="s">
        <v>311</v>
      </c>
      <c r="C50" s="131">
        <v>16</v>
      </c>
      <c r="D50" s="131">
        <v>49.54</v>
      </c>
      <c r="E50" s="131">
        <v>25</v>
      </c>
      <c r="F50" s="131">
        <v>595.7531373</v>
      </c>
      <c r="G50" s="132">
        <f t="shared" si="0"/>
        <v>1202.5699178441664</v>
      </c>
      <c r="H50" s="131">
        <v>10</v>
      </c>
      <c r="I50" s="131">
        <v>28.77</v>
      </c>
      <c r="J50" s="131">
        <v>51</v>
      </c>
      <c r="K50" s="131">
        <v>1908.59322</v>
      </c>
      <c r="L50" s="132">
        <f t="shared" si="1"/>
        <v>6633.970177267987</v>
      </c>
      <c r="M50" s="131">
        <f>H50+C50+'[1]ACP_Agri_9(i)'!C50</f>
        <v>553</v>
      </c>
      <c r="N50" s="131">
        <f>I50+D50+'[1]ACP_Agri_9(i)'!D50</f>
        <v>1257.82</v>
      </c>
      <c r="O50" s="131">
        <f>J50+E50+'[1]ACP_Agri_9(i)'!E50</f>
        <v>1433</v>
      </c>
      <c r="P50" s="131">
        <f t="shared" si="2"/>
        <v>6365.4461732</v>
      </c>
      <c r="Q50" s="132">
        <f t="shared" si="3"/>
        <v>506.0697216771875</v>
      </c>
      <c r="R50" s="145">
        <f>'ACP_Agri_9(i)'!F50+'ACP_Agri_9(ii)'!F50+'ACP_Agri_9(ii)'!K50</f>
        <v>6365.4461732</v>
      </c>
    </row>
    <row r="51" spans="1:18" s="85" customFormat="1" ht="13.5">
      <c r="A51" s="79">
        <v>44</v>
      </c>
      <c r="B51" s="130" t="s">
        <v>78</v>
      </c>
      <c r="C51" s="131">
        <v>34</v>
      </c>
      <c r="D51" s="131">
        <v>134.27</v>
      </c>
      <c r="E51" s="131">
        <v>0</v>
      </c>
      <c r="F51" s="131">
        <v>0</v>
      </c>
      <c r="G51" s="132">
        <f t="shared" si="0"/>
        <v>0</v>
      </c>
      <c r="H51" s="131">
        <v>23</v>
      </c>
      <c r="I51" s="131">
        <v>77.98</v>
      </c>
      <c r="J51" s="131">
        <v>0</v>
      </c>
      <c r="K51" s="131">
        <v>0</v>
      </c>
      <c r="L51" s="132">
        <f t="shared" si="1"/>
        <v>0</v>
      </c>
      <c r="M51" s="131">
        <f>H51+C51+'[1]ACP_Agri_9(i)'!C51</f>
        <v>1256</v>
      </c>
      <c r="N51" s="131">
        <f>I51+D51+'[1]ACP_Agri_9(i)'!D51</f>
        <v>3409.31</v>
      </c>
      <c r="O51" s="131">
        <f>J51+E51+'[1]ACP_Agri_9(i)'!E51</f>
        <v>0</v>
      </c>
      <c r="P51" s="131">
        <f t="shared" si="2"/>
        <v>0</v>
      </c>
      <c r="Q51" s="132">
        <f t="shared" si="3"/>
        <v>0</v>
      </c>
      <c r="R51" s="145">
        <f>'ACP_Agri_9(i)'!F51+'ACP_Agri_9(ii)'!F51+'ACP_Agri_9(ii)'!K51</f>
        <v>0</v>
      </c>
    </row>
    <row r="52" spans="1:18" s="140" customFormat="1" ht="13.5">
      <c r="A52" s="82"/>
      <c r="B52" s="137" t="s">
        <v>274</v>
      </c>
      <c r="C52" s="138">
        <f>SUM(C35:C51)</f>
        <v>2759</v>
      </c>
      <c r="D52" s="138">
        <f aca="true" t="shared" si="6" ref="D52:P52">SUM(D35:D51)</f>
        <v>13463.070000000002</v>
      </c>
      <c r="E52" s="138">
        <f t="shared" si="6"/>
        <v>415.349</v>
      </c>
      <c r="F52" s="138">
        <f t="shared" si="6"/>
        <v>3534.98730588175</v>
      </c>
      <c r="G52" s="129">
        <f t="shared" si="0"/>
        <v>26.256918413718044</v>
      </c>
      <c r="H52" s="138">
        <f t="shared" si="6"/>
        <v>1823</v>
      </c>
      <c r="I52" s="138">
        <f t="shared" si="6"/>
        <v>7847.790000000001</v>
      </c>
      <c r="J52" s="138">
        <f t="shared" si="6"/>
        <v>516.566</v>
      </c>
      <c r="K52" s="138">
        <f t="shared" si="6"/>
        <v>23599.543988857247</v>
      </c>
      <c r="L52" s="129">
        <f t="shared" si="1"/>
        <v>300.7157937311937</v>
      </c>
      <c r="M52" s="138">
        <f t="shared" si="6"/>
        <v>99192</v>
      </c>
      <c r="N52" s="138">
        <f t="shared" si="6"/>
        <v>338281.72</v>
      </c>
      <c r="O52" s="138">
        <f t="shared" si="6"/>
        <v>75140</v>
      </c>
      <c r="P52" s="138">
        <f t="shared" si="6"/>
        <v>159383.1423098</v>
      </c>
      <c r="Q52" s="129">
        <f t="shared" si="3"/>
        <v>47.11550547567276</v>
      </c>
      <c r="R52" s="145">
        <f>'ACP_Agri_9(i)'!F52+'ACP_Agri_9(ii)'!F52+'ACP_Agri_9(ii)'!K52</f>
        <v>159383.1423098</v>
      </c>
    </row>
    <row r="53" spans="1:18" s="85" customFormat="1" ht="13.5">
      <c r="A53" s="79">
        <v>45</v>
      </c>
      <c r="B53" s="130" t="s">
        <v>48</v>
      </c>
      <c r="C53" s="131">
        <v>2483.7629299920186</v>
      </c>
      <c r="D53" s="131">
        <v>15710.74</v>
      </c>
      <c r="E53" s="131">
        <v>0</v>
      </c>
      <c r="F53" s="131">
        <v>0</v>
      </c>
      <c r="G53" s="132">
        <f t="shared" si="0"/>
        <v>0</v>
      </c>
      <c r="H53" s="131">
        <v>235.9099915792943</v>
      </c>
      <c r="I53" s="131">
        <v>1296.43</v>
      </c>
      <c r="J53" s="131">
        <v>0</v>
      </c>
      <c r="K53" s="131">
        <v>0</v>
      </c>
      <c r="L53" s="132">
        <f t="shared" si="1"/>
        <v>0</v>
      </c>
      <c r="M53" s="131">
        <f>H53+C53+'[1]ACP_Agri_9(i)'!C53</f>
        <v>79753.67292157131</v>
      </c>
      <c r="N53" s="131">
        <f>I53+D53+'[1]ACP_Agri_9(i)'!D53</f>
        <v>289600.64999999997</v>
      </c>
      <c r="O53" s="131">
        <f>J53+E53+'[1]ACP_Agri_9(i)'!E53</f>
        <v>40002</v>
      </c>
      <c r="P53" s="131">
        <f t="shared" si="2"/>
        <v>62198</v>
      </c>
      <c r="Q53" s="132">
        <f t="shared" si="3"/>
        <v>21.47716173979582</v>
      </c>
      <c r="R53" s="145">
        <f>'ACP_Agri_9(i)'!F53+'ACP_Agri_9(ii)'!F53+'ACP_Agri_9(ii)'!K53</f>
        <v>62198</v>
      </c>
    </row>
    <row r="54" spans="1:18" s="85" customFormat="1" ht="13.5">
      <c r="A54" s="79">
        <v>46</v>
      </c>
      <c r="B54" s="130" t="s">
        <v>269</v>
      </c>
      <c r="C54" s="131">
        <f>1667+1553</f>
        <v>3220</v>
      </c>
      <c r="D54" s="131">
        <f>11409.03+4+2+1</f>
        <v>11416.03</v>
      </c>
      <c r="E54" s="131">
        <v>0</v>
      </c>
      <c r="F54" s="131">
        <v>0</v>
      </c>
      <c r="G54" s="132">
        <f t="shared" si="0"/>
        <v>0</v>
      </c>
      <c r="H54" s="131">
        <v>551.4133699849042</v>
      </c>
      <c r="I54" s="131">
        <v>3197.11</v>
      </c>
      <c r="J54" s="131">
        <v>0</v>
      </c>
      <c r="K54" s="131">
        <v>0</v>
      </c>
      <c r="L54" s="132">
        <f t="shared" si="1"/>
        <v>0</v>
      </c>
      <c r="M54" s="131">
        <f>H54+C54+'[1]ACP_Agri_9(i)'!C54</f>
        <v>146373.4133699849</v>
      </c>
      <c r="N54" s="131">
        <f>I54+D54+'[1]ACP_Agri_9(i)'!D54</f>
        <v>284530.84</v>
      </c>
      <c r="O54" s="131">
        <f>J54+E54+'[1]ACP_Agri_9(i)'!E54</f>
        <v>91666</v>
      </c>
      <c r="P54" s="131">
        <f t="shared" si="2"/>
        <v>42902</v>
      </c>
      <c r="Q54" s="132">
        <f t="shared" si="3"/>
        <v>15.078154621129997</v>
      </c>
      <c r="R54" s="145">
        <f>'ACP_Agri_9(i)'!F54+'ACP_Agri_9(ii)'!F54+'ACP_Agri_9(ii)'!K54</f>
        <v>42902</v>
      </c>
    </row>
    <row r="55" spans="1:18" s="85" customFormat="1" ht="13.5">
      <c r="A55" s="79">
        <v>47</v>
      </c>
      <c r="B55" s="130" t="s">
        <v>54</v>
      </c>
      <c r="C55" s="131">
        <f>1969+1553</f>
        <v>3522</v>
      </c>
      <c r="D55" s="131">
        <v>12966.05</v>
      </c>
      <c r="E55" s="131">
        <v>0</v>
      </c>
      <c r="F55" s="131">
        <v>0</v>
      </c>
      <c r="G55" s="132">
        <f t="shared" si="0"/>
        <v>0</v>
      </c>
      <c r="H55" s="131">
        <f>6176-604</f>
        <v>5572</v>
      </c>
      <c r="I55" s="131">
        <f>21556-2762</f>
        <v>18794</v>
      </c>
      <c r="J55" s="131">
        <v>380</v>
      </c>
      <c r="K55" s="131">
        <v>558.88</v>
      </c>
      <c r="L55" s="132">
        <f t="shared" si="1"/>
        <v>2.9737150154304564</v>
      </c>
      <c r="M55" s="131">
        <f>H55+C55+'[1]ACP_Agri_9(i)'!C55</f>
        <v>117579.042837079</v>
      </c>
      <c r="N55" s="131">
        <f>I55+D55+'[1]ACP_Agri_9(i)'!D55</f>
        <v>443891.01999999996</v>
      </c>
      <c r="O55" s="131">
        <f>J55+E55+'[1]ACP_Agri_9(i)'!E55</f>
        <v>66232</v>
      </c>
      <c r="P55" s="131">
        <f t="shared" si="2"/>
        <v>101927.62000000001</v>
      </c>
      <c r="Q55" s="132">
        <f t="shared" si="3"/>
        <v>22.962307279836395</v>
      </c>
      <c r="R55" s="145">
        <f>'ACP_Agri_9(i)'!F55+'ACP_Agri_9(ii)'!F55+'ACP_Agri_9(ii)'!K55</f>
        <v>101927.62000000001</v>
      </c>
    </row>
    <row r="56" spans="1:18" s="140" customFormat="1" ht="13.5">
      <c r="A56" s="82"/>
      <c r="B56" s="137" t="s">
        <v>270</v>
      </c>
      <c r="C56" s="138">
        <f>SUM(C53:C55)</f>
        <v>9225.762929992019</v>
      </c>
      <c r="D56" s="138">
        <f aca="true" t="shared" si="7" ref="D56:P56">SUM(D53:D55)</f>
        <v>40092.82</v>
      </c>
      <c r="E56" s="138">
        <f t="shared" si="7"/>
        <v>0</v>
      </c>
      <c r="F56" s="138">
        <f t="shared" si="7"/>
        <v>0</v>
      </c>
      <c r="G56" s="129">
        <f t="shared" si="0"/>
        <v>0</v>
      </c>
      <c r="H56" s="138">
        <f t="shared" si="7"/>
        <v>6359.323361564198</v>
      </c>
      <c r="I56" s="138">
        <f t="shared" si="7"/>
        <v>23287.54</v>
      </c>
      <c r="J56" s="138">
        <f t="shared" si="7"/>
        <v>380</v>
      </c>
      <c r="K56" s="138">
        <f t="shared" si="7"/>
        <v>558.88</v>
      </c>
      <c r="L56" s="129">
        <f t="shared" si="1"/>
        <v>2.3999099947869116</v>
      </c>
      <c r="M56" s="138">
        <f t="shared" si="7"/>
        <v>343706.12912863516</v>
      </c>
      <c r="N56" s="138">
        <f t="shared" si="7"/>
        <v>1018022.51</v>
      </c>
      <c r="O56" s="138">
        <f t="shared" si="7"/>
        <v>197900</v>
      </c>
      <c r="P56" s="138">
        <f t="shared" si="7"/>
        <v>207027.62</v>
      </c>
      <c r="Q56" s="129">
        <f t="shared" si="3"/>
        <v>20.336251700367608</v>
      </c>
      <c r="R56" s="145">
        <f>'ACP_Agri_9(i)'!F56+'ACP_Agri_9(ii)'!F56+'ACP_Agri_9(ii)'!K56</f>
        <v>207027.62</v>
      </c>
    </row>
    <row r="57" spans="1:18" s="85" customFormat="1" ht="13.5">
      <c r="A57" s="79">
        <v>48</v>
      </c>
      <c r="B57" s="130" t="s">
        <v>312</v>
      </c>
      <c r="C57" s="131">
        <v>32840</v>
      </c>
      <c r="D57" s="131">
        <v>83222.36</v>
      </c>
      <c r="E57" s="131">
        <v>0</v>
      </c>
      <c r="F57" s="131">
        <v>0</v>
      </c>
      <c r="G57" s="132">
        <f t="shared" si="0"/>
        <v>0</v>
      </c>
      <c r="H57" s="131">
        <v>10958</v>
      </c>
      <c r="I57" s="131">
        <v>51080.99</v>
      </c>
      <c r="J57" s="131">
        <v>0</v>
      </c>
      <c r="K57" s="131">
        <v>0</v>
      </c>
      <c r="L57" s="132">
        <f t="shared" si="1"/>
        <v>0</v>
      </c>
      <c r="M57" s="131">
        <f>H57+C57+'[1]ACP_Agri_9(i)'!C57</f>
        <v>709321</v>
      </c>
      <c r="N57" s="131">
        <f>I57+D57+'[1]ACP_Agri_9(i)'!D57</f>
        <v>2130414.34</v>
      </c>
      <c r="O57" s="131">
        <f>J57+E57+'[1]ACP_Agri_9(i)'!E57</f>
        <v>1462195</v>
      </c>
      <c r="P57" s="131">
        <f t="shared" si="2"/>
        <v>563049</v>
      </c>
      <c r="Q57" s="132">
        <f t="shared" si="3"/>
        <v>26.429084212792148</v>
      </c>
      <c r="R57" s="145">
        <f>'ACP_Agri_9(i)'!F57+'ACP_Agri_9(ii)'!F57+'ACP_Agri_9(ii)'!K57</f>
        <v>563049</v>
      </c>
    </row>
    <row r="58" spans="1:18" s="140" customFormat="1" ht="13.5">
      <c r="A58" s="82"/>
      <c r="B58" s="137" t="s">
        <v>275</v>
      </c>
      <c r="C58" s="138">
        <f>C57</f>
        <v>32840</v>
      </c>
      <c r="D58" s="138">
        <f aca="true" t="shared" si="8" ref="D58:P58">D57</f>
        <v>83222.36</v>
      </c>
      <c r="E58" s="138">
        <f t="shared" si="8"/>
        <v>0</v>
      </c>
      <c r="F58" s="138">
        <f t="shared" si="8"/>
        <v>0</v>
      </c>
      <c r="G58" s="129">
        <f t="shared" si="0"/>
        <v>0</v>
      </c>
      <c r="H58" s="138">
        <f t="shared" si="8"/>
        <v>10958</v>
      </c>
      <c r="I58" s="138">
        <f t="shared" si="8"/>
        <v>51080.99</v>
      </c>
      <c r="J58" s="138">
        <f t="shared" si="8"/>
        <v>0</v>
      </c>
      <c r="K58" s="138">
        <f t="shared" si="8"/>
        <v>0</v>
      </c>
      <c r="L58" s="129">
        <f t="shared" si="1"/>
        <v>0</v>
      </c>
      <c r="M58" s="138">
        <f t="shared" si="8"/>
        <v>709321</v>
      </c>
      <c r="N58" s="138">
        <f t="shared" si="8"/>
        <v>2130414.34</v>
      </c>
      <c r="O58" s="138">
        <f t="shared" si="8"/>
        <v>1462195</v>
      </c>
      <c r="P58" s="138">
        <f t="shared" si="8"/>
        <v>563049</v>
      </c>
      <c r="Q58" s="129">
        <f t="shared" si="3"/>
        <v>26.429084212792148</v>
      </c>
      <c r="R58" s="145">
        <f>'ACP_Agri_9(i)'!F58+'ACP_Agri_9(ii)'!F58+'ACP_Agri_9(ii)'!K58</f>
        <v>563049</v>
      </c>
    </row>
    <row r="59" spans="1:18" s="140" customFormat="1" ht="13.5">
      <c r="A59" s="82"/>
      <c r="B59" s="137" t="s">
        <v>276</v>
      </c>
      <c r="C59" s="138">
        <f>C58+C56+C52+C34+C27</f>
        <v>83989.76292999202</v>
      </c>
      <c r="D59" s="138">
        <f aca="true" t="shared" si="9" ref="D59:P59">D58+D56+D52+D34+D27</f>
        <v>318442.48</v>
      </c>
      <c r="E59" s="138">
        <f t="shared" si="9"/>
        <v>14402.349</v>
      </c>
      <c r="F59" s="138">
        <f t="shared" si="9"/>
        <v>36169.28730588175</v>
      </c>
      <c r="G59" s="129">
        <f t="shared" si="0"/>
        <v>11.358185411029883</v>
      </c>
      <c r="H59" s="138">
        <f t="shared" si="9"/>
        <v>49129.323361564195</v>
      </c>
      <c r="I59" s="138">
        <f t="shared" si="9"/>
        <v>187721.32</v>
      </c>
      <c r="J59" s="138">
        <f t="shared" si="9"/>
        <v>25883.566</v>
      </c>
      <c r="K59" s="138">
        <f t="shared" si="9"/>
        <v>90414.19398885725</v>
      </c>
      <c r="L59" s="129">
        <f t="shared" si="1"/>
        <v>48.1640518982379</v>
      </c>
      <c r="M59" s="138">
        <f t="shared" si="9"/>
        <v>2613627.129128635</v>
      </c>
      <c r="N59" s="138">
        <f t="shared" si="9"/>
        <v>8098859.009999998</v>
      </c>
      <c r="O59" s="138">
        <f t="shared" si="9"/>
        <v>2322351</v>
      </c>
      <c r="P59" s="138">
        <f t="shared" si="9"/>
        <v>1941218.3407511998</v>
      </c>
      <c r="Q59" s="129">
        <f t="shared" si="3"/>
        <v>23.96903487706474</v>
      </c>
      <c r="R59" s="145">
        <f>'ACP_Agri_9(i)'!F59+'ACP_Agri_9(ii)'!F59+'ACP_Agri_9(ii)'!K59</f>
        <v>1941218.3407512</v>
      </c>
    </row>
    <row r="60" spans="3:17" s="85" customFormat="1" ht="13.5">
      <c r="C60" s="145"/>
      <c r="D60" s="145"/>
      <c r="E60" s="145"/>
      <c r="F60" s="145"/>
      <c r="G60" s="141"/>
      <c r="H60" s="145"/>
      <c r="I60" s="145"/>
      <c r="J60" s="145"/>
      <c r="K60" s="145"/>
      <c r="L60" s="141"/>
      <c r="M60" s="145"/>
      <c r="N60" s="145"/>
      <c r="O60" s="145"/>
      <c r="P60" s="145"/>
      <c r="Q60" s="141"/>
    </row>
    <row r="63" spans="4:15" ht="13.5"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</row>
    <row r="65" spans="7:12" ht="13.5">
      <c r="G65" s="198"/>
      <c r="L65" s="198"/>
    </row>
  </sheetData>
  <sheetProtection/>
  <mergeCells count="15">
    <mergeCell ref="O4:P4"/>
    <mergeCell ref="C4:D4"/>
    <mergeCell ref="J4:K4"/>
    <mergeCell ref="M4:N4"/>
    <mergeCell ref="Q4:Q5"/>
    <mergeCell ref="A1:P1"/>
    <mergeCell ref="M3:Q3"/>
    <mergeCell ref="A3:A5"/>
    <mergeCell ref="B3:B5"/>
    <mergeCell ref="G4:G5"/>
    <mergeCell ref="C3:G3"/>
    <mergeCell ref="L4:L5"/>
    <mergeCell ref="H3:L3"/>
    <mergeCell ref="E4:F4"/>
    <mergeCell ref="H4:I4"/>
  </mergeCells>
  <conditionalFormatting sqref="AC1:AC65536">
    <cfRule type="cellIs" priority="8" dxfId="198" operator="greaterThan" stopIfTrue="1">
      <formula>100</formula>
    </cfRule>
  </conditionalFormatting>
  <conditionalFormatting sqref="B6">
    <cfRule type="duplicateValues" priority="2" dxfId="197">
      <formula>AND(COUNTIF($B$6:$B$6,B6)&gt;1,NOT(ISBLANK(B6)))</formula>
    </cfRule>
  </conditionalFormatting>
  <conditionalFormatting sqref="B22">
    <cfRule type="duplicateValues" priority="3" dxfId="197">
      <formula>AND(COUNTIF($B$22:$B$22,B22)&gt;1,NOT(ISBLANK(B22)))</formula>
    </cfRule>
  </conditionalFormatting>
  <conditionalFormatting sqref="B33:B34 B26:B30">
    <cfRule type="duplicateValues" priority="4" dxfId="197">
      <formula>AND(COUNTIF($B$33:$B$34,B26)+COUNTIF($B$26:$B$30,B26)&gt;1,NOT(ISBLANK(B26)))</formula>
    </cfRule>
  </conditionalFormatting>
  <conditionalFormatting sqref="B52">
    <cfRule type="duplicateValues" priority="5" dxfId="197">
      <formula>AND(COUNTIF($B$52:$B$52,B52)&gt;1,NOT(ISBLANK(B52)))</formula>
    </cfRule>
  </conditionalFormatting>
  <conditionalFormatting sqref="B56">
    <cfRule type="duplicateValues" priority="6" dxfId="197">
      <formula>AND(COUNTIF($B$56:$B$56,B56)&gt;1,NOT(ISBLANK(B56)))</formula>
    </cfRule>
  </conditionalFormatting>
  <conditionalFormatting sqref="B58">
    <cfRule type="duplicateValues" priority="7" dxfId="197">
      <formula>AND(COUNTIF($B$58:$B$58,B58)&gt;1,NOT(ISBLANK(B58)))</formula>
    </cfRule>
  </conditionalFormatting>
  <conditionalFormatting sqref="Q1:Q65536">
    <cfRule type="cellIs" priority="1" dxfId="198" operator="greaterThan" stopIfTrue="1">
      <formula>50</formula>
    </cfRule>
  </conditionalFormatting>
  <printOptions/>
  <pageMargins left="1.2" right="0.7" top="0.25" bottom="0.25" header="0.3" footer="0.3"/>
  <pageSetup horizontalDpi="600" verticalDpi="600" orientation="landscape" paperSize="9" scale="65" r:id="rId1"/>
  <rowBreaks count="1" manualBreakCount="1">
    <brk id="59" max="16" man="1"/>
  </rowBreaks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Q59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56" sqref="G56"/>
    </sheetView>
  </sheetViews>
  <sheetFormatPr defaultColWidth="4.421875" defaultRowHeight="12.75"/>
  <cols>
    <col min="1" max="1" width="4.421875" style="192" customWidth="1"/>
    <col min="2" max="2" width="23.28125" style="192" customWidth="1"/>
    <col min="3" max="3" width="10.57421875" style="198" bestFit="1" customWidth="1"/>
    <col min="4" max="4" width="11.140625" style="198" bestFit="1" customWidth="1"/>
    <col min="5" max="5" width="8.57421875" style="198" bestFit="1" customWidth="1"/>
    <col min="6" max="6" width="10.140625" style="198" bestFit="1" customWidth="1"/>
    <col min="7" max="7" width="8.00390625" style="198" customWidth="1"/>
    <col min="8" max="8" width="10.421875" style="198" bestFit="1" customWidth="1"/>
    <col min="9" max="9" width="8.00390625" style="198" customWidth="1"/>
    <col min="10" max="10" width="8.421875" style="198" customWidth="1"/>
    <col min="11" max="11" width="7.140625" style="198" customWidth="1"/>
    <col min="12" max="12" width="7.28125" style="198" customWidth="1"/>
    <col min="13" max="13" width="7.57421875" style="198" bestFit="1" customWidth="1"/>
    <col min="14" max="14" width="9.421875" style="198" customWidth="1"/>
    <col min="15" max="15" width="9.421875" style="198" bestFit="1" customWidth="1"/>
    <col min="16" max="16" width="10.140625" style="198" bestFit="1" customWidth="1"/>
    <col min="17" max="17" width="8.00390625" style="200" customWidth="1"/>
    <col min="18" max="18" width="11.7109375" style="192" customWidth="1"/>
    <col min="19" max="19" width="14.140625" style="192" bestFit="1" customWidth="1"/>
    <col min="20" max="20" width="12.00390625" style="192" customWidth="1"/>
    <col min="21" max="16384" width="4.421875" style="192" customWidth="1"/>
  </cols>
  <sheetData>
    <row r="1" spans="1:16" ht="18.75">
      <c r="A1" s="585" t="s">
        <v>190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</row>
    <row r="2" spans="2:14" ht="13.5">
      <c r="B2" s="195" t="s">
        <v>141</v>
      </c>
      <c r="C2" s="197"/>
      <c r="D2" s="197"/>
      <c r="K2" s="198" t="s">
        <v>161</v>
      </c>
      <c r="N2" s="197" t="s">
        <v>177</v>
      </c>
    </row>
    <row r="3" spans="1:17" ht="34.5" customHeight="1">
      <c r="A3" s="584" t="s">
        <v>124</v>
      </c>
      <c r="B3" s="584" t="s">
        <v>102</v>
      </c>
      <c r="C3" s="593" t="s">
        <v>180</v>
      </c>
      <c r="D3" s="594"/>
      <c r="E3" s="591" t="s">
        <v>187</v>
      </c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2"/>
      <c r="Q3" s="586" t="s">
        <v>178</v>
      </c>
    </row>
    <row r="4" spans="1:17" ht="34.5" customHeight="1">
      <c r="A4" s="584"/>
      <c r="B4" s="584"/>
      <c r="C4" s="595"/>
      <c r="D4" s="596"/>
      <c r="E4" s="591" t="s">
        <v>133</v>
      </c>
      <c r="F4" s="592"/>
      <c r="G4" s="591" t="s">
        <v>134</v>
      </c>
      <c r="H4" s="592"/>
      <c r="I4" s="591" t="s">
        <v>135</v>
      </c>
      <c r="J4" s="592"/>
      <c r="K4" s="591" t="s">
        <v>136</v>
      </c>
      <c r="L4" s="592"/>
      <c r="M4" s="591" t="s">
        <v>139</v>
      </c>
      <c r="N4" s="592"/>
      <c r="O4" s="591" t="s">
        <v>175</v>
      </c>
      <c r="P4" s="592"/>
      <c r="Q4" s="586"/>
    </row>
    <row r="5" spans="1:17" ht="34.5" customHeight="1">
      <c r="A5" s="584"/>
      <c r="B5" s="584"/>
      <c r="C5" s="201" t="s">
        <v>30</v>
      </c>
      <c r="D5" s="201" t="s">
        <v>17</v>
      </c>
      <c r="E5" s="201" t="s">
        <v>30</v>
      </c>
      <c r="F5" s="201" t="s">
        <v>17</v>
      </c>
      <c r="G5" s="201" t="s">
        <v>30</v>
      </c>
      <c r="H5" s="201" t="s">
        <v>17</v>
      </c>
      <c r="I5" s="201" t="s">
        <v>30</v>
      </c>
      <c r="J5" s="201" t="s">
        <v>17</v>
      </c>
      <c r="K5" s="201" t="s">
        <v>30</v>
      </c>
      <c r="L5" s="201" t="s">
        <v>17</v>
      </c>
      <c r="M5" s="201" t="s">
        <v>30</v>
      </c>
      <c r="N5" s="201" t="s">
        <v>17</v>
      </c>
      <c r="O5" s="201" t="s">
        <v>30</v>
      </c>
      <c r="P5" s="201" t="s">
        <v>17</v>
      </c>
      <c r="Q5" s="586"/>
    </row>
    <row r="6" spans="1:17" ht="13.5">
      <c r="A6" s="179">
        <v>1</v>
      </c>
      <c r="B6" s="203" t="s">
        <v>57</v>
      </c>
      <c r="C6" s="204">
        <v>12951</v>
      </c>
      <c r="D6" s="204">
        <v>44687.33</v>
      </c>
      <c r="E6" s="204">
        <v>1147</v>
      </c>
      <c r="F6" s="204">
        <v>314.15</v>
      </c>
      <c r="G6" s="204">
        <v>20</v>
      </c>
      <c r="H6" s="204">
        <v>1017.76</v>
      </c>
      <c r="I6" s="204">
        <v>8</v>
      </c>
      <c r="J6" s="204">
        <v>895.36</v>
      </c>
      <c r="K6" s="204">
        <v>0</v>
      </c>
      <c r="L6" s="204">
        <v>0</v>
      </c>
      <c r="M6" s="204">
        <v>0</v>
      </c>
      <c r="N6" s="204">
        <v>0</v>
      </c>
      <c r="O6" s="204">
        <f>E6+G6+I6+K6+M6</f>
        <v>1175</v>
      </c>
      <c r="P6" s="204">
        <f>F6+H6+J6+L6+N6</f>
        <v>2227.27</v>
      </c>
      <c r="Q6" s="194">
        <f>P6*100/D6</f>
        <v>4.984119659867797</v>
      </c>
    </row>
    <row r="7" spans="1:17" ht="13.5">
      <c r="A7" s="179">
        <v>2</v>
      </c>
      <c r="B7" s="203" t="s">
        <v>58</v>
      </c>
      <c r="C7" s="204">
        <v>1105</v>
      </c>
      <c r="D7" s="204">
        <v>4894.62</v>
      </c>
      <c r="E7" s="204">
        <v>249</v>
      </c>
      <c r="F7" s="204">
        <v>364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f aca="true" t="shared" si="0" ref="O7:P57">E7+G7+I7+K7+M7</f>
        <v>249</v>
      </c>
      <c r="P7" s="204">
        <f t="shared" si="0"/>
        <v>364</v>
      </c>
      <c r="Q7" s="194">
        <f aca="true" t="shared" si="1" ref="Q7:Q59">P7*100/D7</f>
        <v>7.436736661885908</v>
      </c>
    </row>
    <row r="8" spans="1:17" ht="13.5">
      <c r="A8" s="179">
        <v>3</v>
      </c>
      <c r="B8" s="203" t="s">
        <v>59</v>
      </c>
      <c r="C8" s="204">
        <v>11898</v>
      </c>
      <c r="D8" s="204">
        <v>47874.5</v>
      </c>
      <c r="E8" s="204">
        <v>562</v>
      </c>
      <c r="F8" s="204">
        <v>1184</v>
      </c>
      <c r="G8" s="204">
        <v>141</v>
      </c>
      <c r="H8" s="204">
        <v>32713</v>
      </c>
      <c r="I8" s="204">
        <v>21</v>
      </c>
      <c r="J8" s="204">
        <v>1372</v>
      </c>
      <c r="K8" s="204">
        <v>2</v>
      </c>
      <c r="L8" s="204">
        <v>42.5</v>
      </c>
      <c r="M8" s="204">
        <v>0</v>
      </c>
      <c r="N8" s="204">
        <v>0</v>
      </c>
      <c r="O8" s="204">
        <f t="shared" si="0"/>
        <v>726</v>
      </c>
      <c r="P8" s="204">
        <f t="shared" si="0"/>
        <v>35311.5</v>
      </c>
      <c r="Q8" s="194">
        <f t="shared" si="1"/>
        <v>73.75847267334385</v>
      </c>
    </row>
    <row r="9" spans="1:17" ht="13.5">
      <c r="A9" s="179">
        <v>4</v>
      </c>
      <c r="B9" s="203" t="s">
        <v>60</v>
      </c>
      <c r="C9" s="204">
        <v>4346</v>
      </c>
      <c r="D9" s="204">
        <v>106888.94</v>
      </c>
      <c r="E9" s="204">
        <v>10407</v>
      </c>
      <c r="F9" s="204">
        <v>42492.52</v>
      </c>
      <c r="G9" s="204">
        <v>1571</v>
      </c>
      <c r="H9" s="204">
        <v>8382.73</v>
      </c>
      <c r="I9" s="204">
        <v>106</v>
      </c>
      <c r="J9" s="204">
        <v>5009.65</v>
      </c>
      <c r="K9" s="204">
        <v>6</v>
      </c>
      <c r="L9" s="204">
        <v>2.21</v>
      </c>
      <c r="M9" s="204">
        <v>45</v>
      </c>
      <c r="N9" s="204">
        <v>84</v>
      </c>
      <c r="O9" s="204">
        <f t="shared" si="0"/>
        <v>12135</v>
      </c>
      <c r="P9" s="204">
        <f t="shared" si="0"/>
        <v>55971.11</v>
      </c>
      <c r="Q9" s="194">
        <f t="shared" si="1"/>
        <v>52.36379928550138</v>
      </c>
    </row>
    <row r="10" spans="1:17" ht="13.5">
      <c r="A10" s="179">
        <v>5</v>
      </c>
      <c r="B10" s="203" t="s">
        <v>61</v>
      </c>
      <c r="C10" s="204">
        <v>12474</v>
      </c>
      <c r="D10" s="204">
        <v>52578.02</v>
      </c>
      <c r="E10" s="204">
        <v>3012</v>
      </c>
      <c r="F10" s="204">
        <v>13704</v>
      </c>
      <c r="G10" s="204">
        <v>587</v>
      </c>
      <c r="H10" s="204">
        <v>24897</v>
      </c>
      <c r="I10" s="204">
        <v>6</v>
      </c>
      <c r="J10" s="204">
        <v>603</v>
      </c>
      <c r="K10" s="204">
        <v>0</v>
      </c>
      <c r="L10" s="204">
        <v>0</v>
      </c>
      <c r="M10" s="204">
        <v>0</v>
      </c>
      <c r="N10" s="204">
        <v>0</v>
      </c>
      <c r="O10" s="204">
        <f t="shared" si="0"/>
        <v>3605</v>
      </c>
      <c r="P10" s="204">
        <f t="shared" si="0"/>
        <v>39204</v>
      </c>
      <c r="Q10" s="194">
        <f t="shared" si="1"/>
        <v>74.56347728575554</v>
      </c>
    </row>
    <row r="11" spans="1:17" ht="13.5">
      <c r="A11" s="179">
        <v>6</v>
      </c>
      <c r="B11" s="205" t="s">
        <v>289</v>
      </c>
      <c r="C11" s="204">
        <v>252</v>
      </c>
      <c r="D11" s="204">
        <v>998.67</v>
      </c>
      <c r="E11" s="204">
        <v>10</v>
      </c>
      <c r="F11" s="204">
        <v>4.5</v>
      </c>
      <c r="G11" s="204">
        <v>3</v>
      </c>
      <c r="H11" s="204">
        <v>16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f t="shared" si="0"/>
        <v>13</v>
      </c>
      <c r="P11" s="204">
        <f t="shared" si="0"/>
        <v>20.5</v>
      </c>
      <c r="Q11" s="194">
        <f t="shared" si="1"/>
        <v>2.052730131074329</v>
      </c>
    </row>
    <row r="12" spans="1:17" ht="13.5">
      <c r="A12" s="179">
        <v>7</v>
      </c>
      <c r="B12" s="203" t="s">
        <v>62</v>
      </c>
      <c r="C12" s="204">
        <v>6042</v>
      </c>
      <c r="D12" s="204">
        <v>21043.21</v>
      </c>
      <c r="E12" s="204">
        <v>921</v>
      </c>
      <c r="F12" s="204">
        <v>4519</v>
      </c>
      <c r="G12" s="204">
        <v>540</v>
      </c>
      <c r="H12" s="204">
        <v>2697</v>
      </c>
      <c r="I12" s="204">
        <v>8</v>
      </c>
      <c r="J12" s="204">
        <v>387</v>
      </c>
      <c r="K12" s="204">
        <v>21</v>
      </c>
      <c r="L12" s="204">
        <v>105</v>
      </c>
      <c r="M12" s="204">
        <v>0</v>
      </c>
      <c r="N12" s="204">
        <v>0</v>
      </c>
      <c r="O12" s="204">
        <f t="shared" si="0"/>
        <v>1490</v>
      </c>
      <c r="P12" s="204">
        <f t="shared" si="0"/>
        <v>7708</v>
      </c>
      <c r="Q12" s="194">
        <f t="shared" si="1"/>
        <v>36.6293925689094</v>
      </c>
    </row>
    <row r="13" spans="1:17" ht="13.5">
      <c r="A13" s="179">
        <v>8</v>
      </c>
      <c r="B13" s="203" t="s">
        <v>63</v>
      </c>
      <c r="C13" s="204">
        <v>22260</v>
      </c>
      <c r="D13" s="204">
        <v>93052.96</v>
      </c>
      <c r="E13" s="204">
        <v>1971</v>
      </c>
      <c r="F13" s="204">
        <v>8427.15</v>
      </c>
      <c r="G13" s="204">
        <v>763</v>
      </c>
      <c r="H13" s="204">
        <v>24711.42</v>
      </c>
      <c r="I13" s="204">
        <v>10</v>
      </c>
      <c r="J13" s="204">
        <v>2078.81</v>
      </c>
      <c r="K13" s="204">
        <v>2</v>
      </c>
      <c r="L13" s="204">
        <v>19</v>
      </c>
      <c r="M13" s="204"/>
      <c r="N13" s="204"/>
      <c r="O13" s="204">
        <f t="shared" si="0"/>
        <v>2746</v>
      </c>
      <c r="P13" s="204">
        <f t="shared" si="0"/>
        <v>35236.38</v>
      </c>
      <c r="Q13" s="194">
        <f t="shared" si="1"/>
        <v>37.86701680419408</v>
      </c>
    </row>
    <row r="14" spans="1:17" ht="13.5">
      <c r="A14" s="179">
        <v>9</v>
      </c>
      <c r="B14" s="203" t="s">
        <v>50</v>
      </c>
      <c r="C14" s="204">
        <v>2036</v>
      </c>
      <c r="D14" s="204">
        <v>7809.32</v>
      </c>
      <c r="E14" s="204">
        <v>6431</v>
      </c>
      <c r="F14" s="204">
        <v>12672.9</v>
      </c>
      <c r="G14" s="204">
        <v>1047</v>
      </c>
      <c r="H14" s="204">
        <v>26037</v>
      </c>
      <c r="I14" s="204">
        <v>5</v>
      </c>
      <c r="J14" s="204">
        <v>1253</v>
      </c>
      <c r="K14" s="204">
        <v>114</v>
      </c>
      <c r="L14" s="204">
        <v>404.64</v>
      </c>
      <c r="M14" s="204">
        <v>10</v>
      </c>
      <c r="N14" s="204">
        <v>1981</v>
      </c>
      <c r="O14" s="204">
        <f t="shared" si="0"/>
        <v>7607</v>
      </c>
      <c r="P14" s="204">
        <f t="shared" si="0"/>
        <v>42348.54</v>
      </c>
      <c r="Q14" s="194">
        <f t="shared" si="1"/>
        <v>542.2820424825721</v>
      </c>
    </row>
    <row r="15" spans="1:17" ht="13.5">
      <c r="A15" s="179">
        <v>10</v>
      </c>
      <c r="B15" s="203" t="s">
        <v>51</v>
      </c>
      <c r="C15" s="204">
        <v>4760</v>
      </c>
      <c r="D15" s="204">
        <v>18737.74</v>
      </c>
      <c r="E15" s="204">
        <v>365</v>
      </c>
      <c r="F15" s="204">
        <v>6250</v>
      </c>
      <c r="G15" s="204">
        <v>0</v>
      </c>
      <c r="H15" s="204">
        <v>0</v>
      </c>
      <c r="I15" s="204">
        <v>1</v>
      </c>
      <c r="J15" s="204">
        <v>500</v>
      </c>
      <c r="K15" s="204">
        <v>2</v>
      </c>
      <c r="L15" s="204">
        <v>1</v>
      </c>
      <c r="M15" s="204">
        <v>90</v>
      </c>
      <c r="N15" s="204">
        <v>212</v>
      </c>
      <c r="O15" s="204">
        <f t="shared" si="0"/>
        <v>458</v>
      </c>
      <c r="P15" s="204">
        <f t="shared" si="0"/>
        <v>6963</v>
      </c>
      <c r="Q15" s="194">
        <f t="shared" si="1"/>
        <v>37.1602978801072</v>
      </c>
    </row>
    <row r="16" spans="1:17" ht="13.5">
      <c r="A16" s="179">
        <v>11</v>
      </c>
      <c r="B16" s="203" t="s">
        <v>290</v>
      </c>
      <c r="C16" s="204">
        <v>5422</v>
      </c>
      <c r="D16" s="204">
        <v>19800.22</v>
      </c>
      <c r="E16" s="204">
        <v>4005</v>
      </c>
      <c r="F16" s="204">
        <v>15814.1</v>
      </c>
      <c r="G16" s="204">
        <v>263</v>
      </c>
      <c r="H16" s="204">
        <v>14281.25</v>
      </c>
      <c r="I16" s="204">
        <v>23</v>
      </c>
      <c r="J16" s="204">
        <v>2972.46</v>
      </c>
      <c r="K16" s="204">
        <v>0</v>
      </c>
      <c r="L16" s="204">
        <v>0</v>
      </c>
      <c r="M16" s="204">
        <v>0</v>
      </c>
      <c r="N16" s="204">
        <v>0</v>
      </c>
      <c r="O16" s="204">
        <f t="shared" si="0"/>
        <v>4291</v>
      </c>
      <c r="P16" s="204">
        <f t="shared" si="0"/>
        <v>33067.81</v>
      </c>
      <c r="Q16" s="194">
        <f t="shared" si="1"/>
        <v>167.00728577763277</v>
      </c>
    </row>
    <row r="17" spans="1:17" ht="13.5">
      <c r="A17" s="179">
        <v>12</v>
      </c>
      <c r="B17" s="203" t="s">
        <v>64</v>
      </c>
      <c r="C17" s="204">
        <v>1846</v>
      </c>
      <c r="D17" s="204">
        <v>7307.16</v>
      </c>
      <c r="E17" s="204">
        <v>1911</v>
      </c>
      <c r="F17" s="204">
        <v>5042.96</v>
      </c>
      <c r="G17" s="204">
        <v>108</v>
      </c>
      <c r="H17" s="204">
        <v>930.94</v>
      </c>
      <c r="I17" s="204">
        <v>9</v>
      </c>
      <c r="J17" s="204">
        <v>105.96</v>
      </c>
      <c r="K17" s="204">
        <v>0</v>
      </c>
      <c r="L17" s="204">
        <v>0</v>
      </c>
      <c r="M17" s="204">
        <v>2029</v>
      </c>
      <c r="N17" s="204">
        <v>6019.04</v>
      </c>
      <c r="O17" s="204">
        <f t="shared" si="0"/>
        <v>4057</v>
      </c>
      <c r="P17" s="204">
        <f t="shared" si="0"/>
        <v>12098.9</v>
      </c>
      <c r="Q17" s="194">
        <f t="shared" si="1"/>
        <v>165.57595563803173</v>
      </c>
    </row>
    <row r="18" spans="1:17" ht="13.5">
      <c r="A18" s="179">
        <v>13</v>
      </c>
      <c r="B18" s="203" t="s">
        <v>65</v>
      </c>
      <c r="C18" s="204">
        <v>1874</v>
      </c>
      <c r="D18" s="204">
        <v>8495.37</v>
      </c>
      <c r="E18" s="204">
        <v>155</v>
      </c>
      <c r="F18" s="204">
        <v>278.65</v>
      </c>
      <c r="G18" s="204">
        <v>55</v>
      </c>
      <c r="H18" s="204">
        <v>841.72</v>
      </c>
      <c r="I18" s="204">
        <v>6</v>
      </c>
      <c r="J18" s="204">
        <v>1726.3</v>
      </c>
      <c r="K18" s="204">
        <v>0</v>
      </c>
      <c r="L18" s="204">
        <v>0</v>
      </c>
      <c r="M18" s="204">
        <v>0</v>
      </c>
      <c r="N18" s="204">
        <v>0</v>
      </c>
      <c r="O18" s="204">
        <f t="shared" si="0"/>
        <v>216</v>
      </c>
      <c r="P18" s="204">
        <f t="shared" si="0"/>
        <v>2846.67</v>
      </c>
      <c r="Q18" s="194">
        <f t="shared" si="1"/>
        <v>33.50848756440273</v>
      </c>
    </row>
    <row r="19" spans="1:17" ht="13.5">
      <c r="A19" s="179">
        <v>14</v>
      </c>
      <c r="B19" s="134" t="s">
        <v>291</v>
      </c>
      <c r="C19" s="204">
        <v>4046</v>
      </c>
      <c r="D19" s="204">
        <v>16252.72</v>
      </c>
      <c r="E19" s="204">
        <v>373</v>
      </c>
      <c r="F19" s="204">
        <v>1358.04</v>
      </c>
      <c r="G19" s="204">
        <v>42</v>
      </c>
      <c r="H19" s="204">
        <v>934.77</v>
      </c>
      <c r="I19" s="204">
        <v>1</v>
      </c>
      <c r="J19" s="204">
        <v>0</v>
      </c>
      <c r="K19" s="204">
        <v>1</v>
      </c>
      <c r="L19" s="204">
        <v>18.59</v>
      </c>
      <c r="M19" s="204">
        <v>0</v>
      </c>
      <c r="N19" s="204">
        <v>0</v>
      </c>
      <c r="O19" s="204">
        <f t="shared" si="0"/>
        <v>417</v>
      </c>
      <c r="P19" s="204">
        <f t="shared" si="0"/>
        <v>2311.4</v>
      </c>
      <c r="Q19" s="194">
        <f t="shared" si="1"/>
        <v>14.221619519686552</v>
      </c>
    </row>
    <row r="20" spans="1:17" ht="13.5">
      <c r="A20" s="179">
        <v>15</v>
      </c>
      <c r="B20" s="203" t="s">
        <v>292</v>
      </c>
      <c r="C20" s="204">
        <v>2008</v>
      </c>
      <c r="D20" s="204">
        <v>8120.85</v>
      </c>
      <c r="E20" s="204">
        <v>70</v>
      </c>
      <c r="F20" s="204">
        <v>429</v>
      </c>
      <c r="G20" s="204">
        <v>161</v>
      </c>
      <c r="H20" s="204">
        <v>1002</v>
      </c>
      <c r="I20" s="204">
        <v>0</v>
      </c>
      <c r="J20" s="204">
        <v>0</v>
      </c>
      <c r="K20" s="204">
        <v>2</v>
      </c>
      <c r="L20" s="204">
        <v>50</v>
      </c>
      <c r="M20" s="204">
        <v>0</v>
      </c>
      <c r="N20" s="204">
        <v>0</v>
      </c>
      <c r="O20" s="204">
        <f t="shared" si="0"/>
        <v>233</v>
      </c>
      <c r="P20" s="204">
        <f t="shared" si="0"/>
        <v>1481</v>
      </c>
      <c r="Q20" s="194">
        <f t="shared" si="1"/>
        <v>18.237007209836406</v>
      </c>
    </row>
    <row r="21" spans="1:17" ht="13.5">
      <c r="A21" s="179">
        <v>16</v>
      </c>
      <c r="B21" s="203" t="s">
        <v>66</v>
      </c>
      <c r="C21" s="204">
        <v>28512</v>
      </c>
      <c r="D21" s="204">
        <v>122478.22</v>
      </c>
      <c r="E21" s="204">
        <v>10948</v>
      </c>
      <c r="F21" s="204">
        <v>61276</v>
      </c>
      <c r="G21" s="204">
        <v>1236</v>
      </c>
      <c r="H21" s="204">
        <v>63132</v>
      </c>
      <c r="I21" s="204">
        <v>72</v>
      </c>
      <c r="J21" s="204">
        <v>23908</v>
      </c>
      <c r="K21" s="204">
        <v>9</v>
      </c>
      <c r="L21" s="204">
        <v>29</v>
      </c>
      <c r="M21" s="204">
        <v>0</v>
      </c>
      <c r="N21" s="204">
        <v>0</v>
      </c>
      <c r="O21" s="204">
        <f t="shared" si="0"/>
        <v>12265</v>
      </c>
      <c r="P21" s="204">
        <f t="shared" si="0"/>
        <v>148345</v>
      </c>
      <c r="Q21" s="194">
        <f t="shared" si="1"/>
        <v>121.11949373529433</v>
      </c>
    </row>
    <row r="22" spans="1:17" ht="13.5">
      <c r="A22" s="179">
        <v>17</v>
      </c>
      <c r="B22" s="135" t="s">
        <v>67</v>
      </c>
      <c r="C22" s="204">
        <v>3768</v>
      </c>
      <c r="D22" s="204">
        <v>16285.52</v>
      </c>
      <c r="E22" s="204">
        <v>1659</v>
      </c>
      <c r="F22" s="204">
        <v>6760</v>
      </c>
      <c r="G22" s="204">
        <v>248</v>
      </c>
      <c r="H22" s="204">
        <v>2069</v>
      </c>
      <c r="I22" s="204">
        <v>12</v>
      </c>
      <c r="J22" s="204">
        <v>790</v>
      </c>
      <c r="K22" s="204">
        <v>1</v>
      </c>
      <c r="L22" s="204">
        <v>21</v>
      </c>
      <c r="M22" s="204">
        <v>8</v>
      </c>
      <c r="N22" s="204">
        <v>15</v>
      </c>
      <c r="O22" s="204">
        <f t="shared" si="0"/>
        <v>1928</v>
      </c>
      <c r="P22" s="204">
        <f t="shared" si="0"/>
        <v>9655</v>
      </c>
      <c r="Q22" s="194">
        <f t="shared" si="1"/>
        <v>59.28579498843144</v>
      </c>
    </row>
    <row r="23" spans="1:17" ht="13.5">
      <c r="A23" s="179">
        <v>18</v>
      </c>
      <c r="B23" s="130" t="s">
        <v>253</v>
      </c>
      <c r="C23" s="204">
        <v>12924</v>
      </c>
      <c r="D23" s="204">
        <v>57574.24</v>
      </c>
      <c r="E23" s="204">
        <v>904</v>
      </c>
      <c r="F23" s="204">
        <v>9472</v>
      </c>
      <c r="G23" s="204">
        <v>92</v>
      </c>
      <c r="H23" s="204">
        <v>804</v>
      </c>
      <c r="I23" s="204">
        <v>0</v>
      </c>
      <c r="J23" s="204">
        <v>0</v>
      </c>
      <c r="K23" s="204">
        <v>1</v>
      </c>
      <c r="L23" s="204">
        <v>3</v>
      </c>
      <c r="M23" s="204">
        <v>324</v>
      </c>
      <c r="N23" s="204">
        <v>532</v>
      </c>
      <c r="O23" s="204">
        <f t="shared" si="0"/>
        <v>1321</v>
      </c>
      <c r="P23" s="204">
        <f t="shared" si="0"/>
        <v>10811</v>
      </c>
      <c r="Q23" s="194">
        <f t="shared" si="1"/>
        <v>18.777494935234927</v>
      </c>
    </row>
    <row r="24" spans="1:17" ht="13.5">
      <c r="A24" s="179">
        <v>19</v>
      </c>
      <c r="B24" s="136" t="s">
        <v>68</v>
      </c>
      <c r="C24" s="204">
        <v>16712</v>
      </c>
      <c r="D24" s="204">
        <v>47944.62</v>
      </c>
      <c r="E24" s="204">
        <v>1984</v>
      </c>
      <c r="F24" s="204">
        <v>3049.04</v>
      </c>
      <c r="G24" s="204">
        <v>279</v>
      </c>
      <c r="H24" s="204">
        <v>1746.71</v>
      </c>
      <c r="I24" s="204">
        <v>168</v>
      </c>
      <c r="J24" s="204">
        <v>6756.04</v>
      </c>
      <c r="K24" s="204">
        <v>1</v>
      </c>
      <c r="L24" s="204">
        <v>0.069</v>
      </c>
      <c r="M24" s="204">
        <v>0</v>
      </c>
      <c r="N24" s="204">
        <v>0</v>
      </c>
      <c r="O24" s="204">
        <f t="shared" si="0"/>
        <v>2432</v>
      </c>
      <c r="P24" s="204">
        <f t="shared" si="0"/>
        <v>11551.859</v>
      </c>
      <c r="Q24" s="194">
        <f t="shared" si="1"/>
        <v>24.094171567112223</v>
      </c>
    </row>
    <row r="25" spans="1:17" ht="13.5">
      <c r="A25" s="179">
        <v>20</v>
      </c>
      <c r="B25" s="203" t="s">
        <v>69</v>
      </c>
      <c r="C25" s="204">
        <v>1228</v>
      </c>
      <c r="D25" s="204">
        <v>5724.3</v>
      </c>
      <c r="E25" s="204">
        <v>759</v>
      </c>
      <c r="F25" s="204">
        <v>4238</v>
      </c>
      <c r="G25" s="204">
        <v>224</v>
      </c>
      <c r="H25" s="204">
        <v>2169</v>
      </c>
      <c r="I25" s="204">
        <v>2</v>
      </c>
      <c r="J25" s="204">
        <v>30</v>
      </c>
      <c r="K25" s="204">
        <v>0</v>
      </c>
      <c r="L25" s="204">
        <v>0</v>
      </c>
      <c r="M25" s="204">
        <v>0</v>
      </c>
      <c r="N25" s="204">
        <v>0</v>
      </c>
      <c r="O25" s="204">
        <f t="shared" si="0"/>
        <v>985</v>
      </c>
      <c r="P25" s="204">
        <f t="shared" si="0"/>
        <v>6437</v>
      </c>
      <c r="Q25" s="194">
        <f t="shared" si="1"/>
        <v>112.45043062033785</v>
      </c>
    </row>
    <row r="26" spans="1:17" ht="13.5">
      <c r="A26" s="179">
        <v>21</v>
      </c>
      <c r="B26" s="203" t="s">
        <v>52</v>
      </c>
      <c r="C26" s="204">
        <v>1648</v>
      </c>
      <c r="D26" s="204">
        <v>6742.97</v>
      </c>
      <c r="E26" s="204">
        <v>415</v>
      </c>
      <c r="F26" s="204">
        <v>1342.09</v>
      </c>
      <c r="G26" s="204">
        <v>160</v>
      </c>
      <c r="H26" s="204">
        <v>384.96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f t="shared" si="0"/>
        <v>575</v>
      </c>
      <c r="P26" s="204">
        <f t="shared" si="0"/>
        <v>1727.05</v>
      </c>
      <c r="Q26" s="194">
        <f t="shared" si="1"/>
        <v>25.61260097553452</v>
      </c>
    </row>
    <row r="27" spans="1:17" ht="13.5">
      <c r="A27" s="182"/>
      <c r="B27" s="206" t="s">
        <v>293</v>
      </c>
      <c r="C27" s="207">
        <f>SUM(C6:C26)</f>
        <v>158112</v>
      </c>
      <c r="D27" s="207">
        <f aca="true" t="shared" si="2" ref="D27:P27">SUM(D6:D26)</f>
        <v>715291.5</v>
      </c>
      <c r="E27" s="207">
        <f t="shared" si="2"/>
        <v>48258</v>
      </c>
      <c r="F27" s="207">
        <f t="shared" si="2"/>
        <v>198992.09999999998</v>
      </c>
      <c r="G27" s="207">
        <f t="shared" si="2"/>
        <v>7540</v>
      </c>
      <c r="H27" s="207">
        <f t="shared" si="2"/>
        <v>208768.25999999998</v>
      </c>
      <c r="I27" s="207">
        <f t="shared" si="2"/>
        <v>458</v>
      </c>
      <c r="J27" s="207">
        <f t="shared" si="2"/>
        <v>48387.579999999994</v>
      </c>
      <c r="K27" s="207">
        <f t="shared" si="2"/>
        <v>162</v>
      </c>
      <c r="L27" s="207">
        <f t="shared" si="2"/>
        <v>696.009</v>
      </c>
      <c r="M27" s="207">
        <f t="shared" si="2"/>
        <v>2506</v>
      </c>
      <c r="N27" s="207">
        <f t="shared" si="2"/>
        <v>8843.04</v>
      </c>
      <c r="O27" s="207">
        <f t="shared" si="2"/>
        <v>58924</v>
      </c>
      <c r="P27" s="207">
        <f t="shared" si="2"/>
        <v>465686.989</v>
      </c>
      <c r="Q27" s="181">
        <f t="shared" si="1"/>
        <v>65.10450480678156</v>
      </c>
    </row>
    <row r="28" spans="1:17" ht="13.5">
      <c r="A28" s="179">
        <v>22</v>
      </c>
      <c r="B28" s="203" t="s">
        <v>294</v>
      </c>
      <c r="C28" s="204">
        <v>326</v>
      </c>
      <c r="D28" s="204">
        <v>1762.08</v>
      </c>
      <c r="E28" s="204">
        <v>17</v>
      </c>
      <c r="F28" s="204">
        <v>69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f t="shared" si="0"/>
        <v>17</v>
      </c>
      <c r="P28" s="204">
        <f t="shared" si="0"/>
        <v>69</v>
      </c>
      <c r="Q28" s="194">
        <f t="shared" si="1"/>
        <v>3.915826750204304</v>
      </c>
    </row>
    <row r="29" spans="1:17" ht="13.5">
      <c r="A29" s="179">
        <v>23</v>
      </c>
      <c r="B29" s="203" t="s">
        <v>295</v>
      </c>
      <c r="C29" s="204">
        <v>298</v>
      </c>
      <c r="D29" s="204">
        <v>1375.24</v>
      </c>
      <c r="E29" s="204">
        <v>2</v>
      </c>
      <c r="F29" s="204">
        <v>19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f t="shared" si="0"/>
        <v>2</v>
      </c>
      <c r="P29" s="204">
        <f t="shared" si="0"/>
        <v>19</v>
      </c>
      <c r="Q29" s="194">
        <f t="shared" si="1"/>
        <v>1.381577033826823</v>
      </c>
    </row>
    <row r="30" spans="1:17" ht="13.5">
      <c r="A30" s="179">
        <v>24</v>
      </c>
      <c r="B30" s="203" t="s">
        <v>296</v>
      </c>
      <c r="C30" s="204">
        <v>896</v>
      </c>
      <c r="D30" s="204">
        <v>4096.45</v>
      </c>
      <c r="E30" s="204">
        <v>2</v>
      </c>
      <c r="F30" s="204">
        <v>3.6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f t="shared" si="0"/>
        <v>2</v>
      </c>
      <c r="P30" s="204">
        <f t="shared" si="0"/>
        <v>3.6</v>
      </c>
      <c r="Q30" s="194">
        <f t="shared" si="1"/>
        <v>0.08788097010826448</v>
      </c>
    </row>
    <row r="31" spans="1:17" ht="13.5">
      <c r="A31" s="179">
        <v>25</v>
      </c>
      <c r="B31" s="205" t="s">
        <v>297</v>
      </c>
      <c r="C31" s="204">
        <v>2994</v>
      </c>
      <c r="D31" s="204">
        <v>16182.8</v>
      </c>
      <c r="E31" s="204">
        <v>4</v>
      </c>
      <c r="F31" s="204">
        <v>47</v>
      </c>
      <c r="G31" s="204"/>
      <c r="H31" s="204"/>
      <c r="I31" s="204"/>
      <c r="J31" s="204"/>
      <c r="K31" s="204"/>
      <c r="L31" s="204"/>
      <c r="M31" s="204"/>
      <c r="N31" s="204"/>
      <c r="O31" s="204">
        <f t="shared" si="0"/>
        <v>4</v>
      </c>
      <c r="P31" s="204">
        <f t="shared" si="0"/>
        <v>47</v>
      </c>
      <c r="Q31" s="194">
        <f t="shared" si="1"/>
        <v>0.2904318164965272</v>
      </c>
    </row>
    <row r="32" spans="1:17" ht="13.5">
      <c r="A32" s="179">
        <v>26</v>
      </c>
      <c r="B32" s="203" t="s">
        <v>298</v>
      </c>
      <c r="C32" s="204">
        <v>966</v>
      </c>
      <c r="D32" s="204">
        <v>4325.99</v>
      </c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>
        <f t="shared" si="0"/>
        <v>0</v>
      </c>
      <c r="P32" s="204">
        <f t="shared" si="0"/>
        <v>0</v>
      </c>
      <c r="Q32" s="194">
        <f t="shared" si="1"/>
        <v>0</v>
      </c>
    </row>
    <row r="33" spans="1:17" ht="13.5">
      <c r="A33" s="179">
        <v>27</v>
      </c>
      <c r="B33" s="203" t="s">
        <v>72</v>
      </c>
      <c r="C33" s="204">
        <v>117829</v>
      </c>
      <c r="D33" s="204">
        <v>451789.28</v>
      </c>
      <c r="E33" s="204">
        <v>3127</v>
      </c>
      <c r="F33" s="204">
        <v>11352</v>
      </c>
      <c r="G33" s="204">
        <v>783</v>
      </c>
      <c r="H33" s="204">
        <v>22839</v>
      </c>
      <c r="I33" s="204">
        <v>16</v>
      </c>
      <c r="J33" s="204">
        <v>40476</v>
      </c>
      <c r="K33" s="204">
        <v>27</v>
      </c>
      <c r="L33" s="204">
        <v>218</v>
      </c>
      <c r="M33" s="204">
        <v>0</v>
      </c>
      <c r="N33" s="204">
        <v>0</v>
      </c>
      <c r="O33" s="204">
        <f t="shared" si="0"/>
        <v>3953</v>
      </c>
      <c r="P33" s="204">
        <f t="shared" si="0"/>
        <v>74885</v>
      </c>
      <c r="Q33" s="194">
        <f t="shared" si="1"/>
        <v>16.575205148736597</v>
      </c>
    </row>
    <row r="34" spans="1:17" ht="13.5">
      <c r="A34" s="182"/>
      <c r="B34" s="206" t="s">
        <v>299</v>
      </c>
      <c r="C34" s="207">
        <f>SUM(C28:C33)</f>
        <v>123309</v>
      </c>
      <c r="D34" s="207">
        <f aca="true" t="shared" si="3" ref="D34:P34">SUM(D28:D33)</f>
        <v>479531.84</v>
      </c>
      <c r="E34" s="207">
        <f t="shared" si="3"/>
        <v>3152</v>
      </c>
      <c r="F34" s="207">
        <f t="shared" si="3"/>
        <v>11490.6</v>
      </c>
      <c r="G34" s="207">
        <f t="shared" si="3"/>
        <v>783</v>
      </c>
      <c r="H34" s="207">
        <f t="shared" si="3"/>
        <v>22839</v>
      </c>
      <c r="I34" s="207">
        <f t="shared" si="3"/>
        <v>16</v>
      </c>
      <c r="J34" s="207">
        <f t="shared" si="3"/>
        <v>40476</v>
      </c>
      <c r="K34" s="207">
        <f t="shared" si="3"/>
        <v>27</v>
      </c>
      <c r="L34" s="207">
        <f t="shared" si="3"/>
        <v>218</v>
      </c>
      <c r="M34" s="207">
        <f t="shared" si="3"/>
        <v>0</v>
      </c>
      <c r="N34" s="207">
        <f t="shared" si="3"/>
        <v>0</v>
      </c>
      <c r="O34" s="207">
        <f t="shared" si="3"/>
        <v>3978</v>
      </c>
      <c r="P34" s="207">
        <f t="shared" si="3"/>
        <v>75023.6</v>
      </c>
      <c r="Q34" s="181">
        <f t="shared" si="1"/>
        <v>15.645175928255359</v>
      </c>
    </row>
    <row r="35" spans="1:17" ht="13.5">
      <c r="A35" s="179">
        <v>28</v>
      </c>
      <c r="B35" s="203" t="s">
        <v>49</v>
      </c>
      <c r="C35" s="204">
        <v>10504</v>
      </c>
      <c r="D35" s="204">
        <v>50015.26</v>
      </c>
      <c r="E35" s="204">
        <v>333</v>
      </c>
      <c r="F35" s="204">
        <v>3106.7</v>
      </c>
      <c r="G35" s="204">
        <v>153</v>
      </c>
      <c r="H35" s="204">
        <v>2987.36</v>
      </c>
      <c r="I35" s="204">
        <v>39</v>
      </c>
      <c r="J35" s="204">
        <v>3223.9</v>
      </c>
      <c r="K35" s="204">
        <v>0</v>
      </c>
      <c r="L35" s="204">
        <v>0</v>
      </c>
      <c r="M35" s="204">
        <v>0</v>
      </c>
      <c r="N35" s="204">
        <v>0</v>
      </c>
      <c r="O35" s="204">
        <f t="shared" si="0"/>
        <v>525</v>
      </c>
      <c r="P35" s="204">
        <f t="shared" si="0"/>
        <v>9317.96</v>
      </c>
      <c r="Q35" s="194">
        <f t="shared" si="1"/>
        <v>18.630234052567154</v>
      </c>
    </row>
    <row r="36" spans="1:17" ht="13.5">
      <c r="A36" s="179">
        <v>29</v>
      </c>
      <c r="B36" s="180" t="s">
        <v>53</v>
      </c>
      <c r="C36" s="204">
        <v>166</v>
      </c>
      <c r="D36" s="204">
        <v>905.91</v>
      </c>
      <c r="E36" s="204">
        <v>2</v>
      </c>
      <c r="F36" s="204">
        <v>27</v>
      </c>
      <c r="G36" s="204">
        <v>0</v>
      </c>
      <c r="H36" s="204">
        <v>0</v>
      </c>
      <c r="I36" s="204">
        <v>1</v>
      </c>
      <c r="J36" s="204">
        <v>52.52332</v>
      </c>
      <c r="K36" s="204">
        <v>0</v>
      </c>
      <c r="L36" s="204">
        <v>0</v>
      </c>
      <c r="M36" s="204">
        <v>0</v>
      </c>
      <c r="N36" s="204">
        <v>0</v>
      </c>
      <c r="O36" s="204">
        <f t="shared" si="0"/>
        <v>3</v>
      </c>
      <c r="P36" s="204">
        <f t="shared" si="0"/>
        <v>79.52332</v>
      </c>
      <c r="Q36" s="194">
        <f t="shared" si="1"/>
        <v>8.778280403130553</v>
      </c>
    </row>
    <row r="37" spans="1:17" ht="13.5">
      <c r="A37" s="179">
        <v>30</v>
      </c>
      <c r="B37" s="180" t="s">
        <v>300</v>
      </c>
      <c r="C37" s="204">
        <v>19</v>
      </c>
      <c r="D37" s="204">
        <v>225.65</v>
      </c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204">
        <f t="shared" si="0"/>
        <v>0</v>
      </c>
      <c r="P37" s="204">
        <f t="shared" si="0"/>
        <v>0</v>
      </c>
      <c r="Q37" s="194">
        <f t="shared" si="1"/>
        <v>0</v>
      </c>
    </row>
    <row r="38" spans="1:17" ht="13.5">
      <c r="A38" s="179">
        <v>31</v>
      </c>
      <c r="B38" s="203" t="s">
        <v>301</v>
      </c>
      <c r="C38" s="204">
        <v>104</v>
      </c>
      <c r="D38" s="204">
        <v>399.24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f t="shared" si="0"/>
        <v>0</v>
      </c>
      <c r="P38" s="204">
        <f t="shared" si="0"/>
        <v>0</v>
      </c>
      <c r="Q38" s="194">
        <f t="shared" si="1"/>
        <v>0</v>
      </c>
    </row>
    <row r="39" spans="1:17" ht="13.5">
      <c r="A39" s="179">
        <v>32</v>
      </c>
      <c r="B39" s="203" t="s">
        <v>302</v>
      </c>
      <c r="C39" s="204">
        <v>575</v>
      </c>
      <c r="D39" s="204">
        <v>2268.13</v>
      </c>
      <c r="E39" s="204">
        <v>41</v>
      </c>
      <c r="F39" s="204">
        <v>1046.57</v>
      </c>
      <c r="G39" s="204">
        <v>12</v>
      </c>
      <c r="H39" s="204">
        <v>590.73</v>
      </c>
      <c r="I39" s="204">
        <v>1</v>
      </c>
      <c r="J39" s="204">
        <v>850</v>
      </c>
      <c r="K39" s="204">
        <v>0</v>
      </c>
      <c r="L39" s="204">
        <v>0</v>
      </c>
      <c r="M39" s="204">
        <v>0</v>
      </c>
      <c r="N39" s="204">
        <v>0</v>
      </c>
      <c r="O39" s="204">
        <f t="shared" si="0"/>
        <v>54</v>
      </c>
      <c r="P39" s="204">
        <f t="shared" si="0"/>
        <v>2487.3</v>
      </c>
      <c r="Q39" s="194">
        <f t="shared" si="1"/>
        <v>109.66302636974072</v>
      </c>
    </row>
    <row r="40" spans="1:17" ht="13.5">
      <c r="A40" s="179">
        <v>33</v>
      </c>
      <c r="B40" s="203" t="s">
        <v>303</v>
      </c>
      <c r="C40" s="204">
        <v>13760</v>
      </c>
      <c r="D40" s="204">
        <v>65246.29</v>
      </c>
      <c r="E40" s="204">
        <v>20309</v>
      </c>
      <c r="F40" s="204">
        <v>17233.67</v>
      </c>
      <c r="G40" s="204">
        <v>688</v>
      </c>
      <c r="H40" s="204">
        <v>14704.99</v>
      </c>
      <c r="I40" s="204">
        <v>47</v>
      </c>
      <c r="J40" s="204">
        <v>1925.94</v>
      </c>
      <c r="K40" s="204">
        <v>0</v>
      </c>
      <c r="L40" s="204">
        <v>0</v>
      </c>
      <c r="M40" s="204">
        <v>0</v>
      </c>
      <c r="N40" s="204">
        <v>0</v>
      </c>
      <c r="O40" s="204">
        <f t="shared" si="0"/>
        <v>21044</v>
      </c>
      <c r="P40" s="204">
        <f t="shared" si="0"/>
        <v>33864.6</v>
      </c>
      <c r="Q40" s="194">
        <f t="shared" si="1"/>
        <v>51.90272121219459</v>
      </c>
    </row>
    <row r="41" spans="1:17" ht="13.5">
      <c r="A41" s="179">
        <v>34</v>
      </c>
      <c r="B41" s="203" t="s">
        <v>304</v>
      </c>
      <c r="C41" s="204">
        <v>12948</v>
      </c>
      <c r="D41" s="204">
        <v>58328.97</v>
      </c>
      <c r="E41" s="204">
        <v>1530</v>
      </c>
      <c r="F41" s="204">
        <v>66053.405</v>
      </c>
      <c r="G41" s="204">
        <v>1692</v>
      </c>
      <c r="H41" s="204">
        <v>34679.42</v>
      </c>
      <c r="I41" s="204">
        <v>23</v>
      </c>
      <c r="J41" s="204">
        <v>3082.07</v>
      </c>
      <c r="K41" s="204">
        <v>0</v>
      </c>
      <c r="L41" s="204">
        <v>0</v>
      </c>
      <c r="M41" s="204">
        <v>0</v>
      </c>
      <c r="N41" s="204">
        <v>0</v>
      </c>
      <c r="O41" s="204">
        <f t="shared" si="0"/>
        <v>3245</v>
      </c>
      <c r="P41" s="204">
        <f t="shared" si="0"/>
        <v>103814.895</v>
      </c>
      <c r="Q41" s="194">
        <f t="shared" si="1"/>
        <v>177.98170446006503</v>
      </c>
    </row>
    <row r="42" spans="1:17" ht="13.5">
      <c r="A42" s="179">
        <v>35</v>
      </c>
      <c r="B42" s="203" t="s">
        <v>305</v>
      </c>
      <c r="C42" s="204">
        <v>3170</v>
      </c>
      <c r="D42" s="204">
        <v>16864.43</v>
      </c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>
        <f t="shared" si="0"/>
        <v>0</v>
      </c>
      <c r="P42" s="204">
        <f t="shared" si="0"/>
        <v>0</v>
      </c>
      <c r="Q42" s="194">
        <f t="shared" si="1"/>
        <v>0</v>
      </c>
    </row>
    <row r="43" spans="1:17" ht="13.5">
      <c r="A43" s="179">
        <v>36</v>
      </c>
      <c r="B43" s="130" t="s">
        <v>255</v>
      </c>
      <c r="C43" s="204">
        <v>132</v>
      </c>
      <c r="D43" s="204">
        <v>468.18</v>
      </c>
      <c r="E43" s="204">
        <v>1319</v>
      </c>
      <c r="F43" s="204">
        <v>25312</v>
      </c>
      <c r="G43" s="204">
        <v>0</v>
      </c>
      <c r="H43" s="204">
        <v>0</v>
      </c>
      <c r="I43" s="204">
        <v>0</v>
      </c>
      <c r="J43" s="204">
        <v>0</v>
      </c>
      <c r="K43" s="204">
        <v>0</v>
      </c>
      <c r="L43" s="204">
        <v>0</v>
      </c>
      <c r="M43" s="204">
        <v>0</v>
      </c>
      <c r="N43" s="204">
        <v>0</v>
      </c>
      <c r="O43" s="204">
        <f t="shared" si="0"/>
        <v>1319</v>
      </c>
      <c r="P43" s="204">
        <f t="shared" si="0"/>
        <v>25312</v>
      </c>
      <c r="Q43" s="194">
        <f t="shared" si="1"/>
        <v>5406.467597932419</v>
      </c>
    </row>
    <row r="44" spans="1:17" ht="13.5">
      <c r="A44" s="179">
        <v>37</v>
      </c>
      <c r="B44" s="203" t="s">
        <v>306</v>
      </c>
      <c r="C44" s="204">
        <v>468</v>
      </c>
      <c r="D44" s="204">
        <v>2747.56</v>
      </c>
      <c r="E44" s="204">
        <v>0</v>
      </c>
      <c r="F44" s="204">
        <v>0</v>
      </c>
      <c r="G44" s="204">
        <v>5</v>
      </c>
      <c r="H44" s="204">
        <v>22</v>
      </c>
      <c r="I44" s="204"/>
      <c r="J44" s="204"/>
      <c r="K44" s="204"/>
      <c r="L44" s="204"/>
      <c r="M44" s="204"/>
      <c r="N44" s="204"/>
      <c r="O44" s="204">
        <f t="shared" si="0"/>
        <v>5</v>
      </c>
      <c r="P44" s="204">
        <f t="shared" si="0"/>
        <v>22</v>
      </c>
      <c r="Q44" s="194">
        <f t="shared" si="1"/>
        <v>0.8007104485434349</v>
      </c>
    </row>
    <row r="45" spans="1:17" ht="13.5">
      <c r="A45" s="179">
        <v>38</v>
      </c>
      <c r="B45" s="203" t="s">
        <v>307</v>
      </c>
      <c r="C45" s="204">
        <v>792</v>
      </c>
      <c r="D45" s="204">
        <v>3084.21</v>
      </c>
      <c r="E45" s="204">
        <v>13</v>
      </c>
      <c r="F45" s="204">
        <v>463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204">
        <v>0</v>
      </c>
      <c r="N45" s="204">
        <v>0</v>
      </c>
      <c r="O45" s="204">
        <f t="shared" si="0"/>
        <v>13</v>
      </c>
      <c r="P45" s="204">
        <f t="shared" si="0"/>
        <v>463</v>
      </c>
      <c r="Q45" s="194">
        <f t="shared" si="1"/>
        <v>15.01194795425733</v>
      </c>
    </row>
    <row r="46" spans="1:17" ht="13.5">
      <c r="A46" s="179">
        <v>39</v>
      </c>
      <c r="B46" s="203" t="s">
        <v>95</v>
      </c>
      <c r="C46" s="204">
        <v>238</v>
      </c>
      <c r="D46" s="204">
        <v>1272.97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f t="shared" si="0"/>
        <v>0</v>
      </c>
      <c r="P46" s="204">
        <f t="shared" si="0"/>
        <v>0</v>
      </c>
      <c r="Q46" s="194">
        <f t="shared" si="1"/>
        <v>0</v>
      </c>
    </row>
    <row r="47" spans="1:17" ht="13.5">
      <c r="A47" s="179">
        <v>40</v>
      </c>
      <c r="B47" s="203" t="s">
        <v>308</v>
      </c>
      <c r="C47" s="204">
        <v>3716</v>
      </c>
      <c r="D47" s="204">
        <v>20050.19</v>
      </c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>
        <f t="shared" si="0"/>
        <v>0</v>
      </c>
      <c r="P47" s="204">
        <f t="shared" si="0"/>
        <v>0</v>
      </c>
      <c r="Q47" s="194">
        <f t="shared" si="1"/>
        <v>0</v>
      </c>
    </row>
    <row r="48" spans="1:17" ht="13.5">
      <c r="A48" s="179">
        <v>41</v>
      </c>
      <c r="B48" s="203" t="s">
        <v>309</v>
      </c>
      <c r="C48" s="204">
        <v>172</v>
      </c>
      <c r="D48" s="204">
        <v>936.28</v>
      </c>
      <c r="E48" s="204">
        <v>2</v>
      </c>
      <c r="F48" s="204">
        <v>122</v>
      </c>
      <c r="G48" s="204">
        <v>0</v>
      </c>
      <c r="H48" s="204">
        <v>0</v>
      </c>
      <c r="I48" s="204">
        <v>0</v>
      </c>
      <c r="J48" s="204">
        <v>0</v>
      </c>
      <c r="K48" s="204">
        <v>0</v>
      </c>
      <c r="L48" s="204">
        <v>0</v>
      </c>
      <c r="M48" s="204">
        <v>0</v>
      </c>
      <c r="N48" s="204">
        <v>0</v>
      </c>
      <c r="O48" s="204">
        <f t="shared" si="0"/>
        <v>2</v>
      </c>
      <c r="P48" s="204">
        <f t="shared" si="0"/>
        <v>122</v>
      </c>
      <c r="Q48" s="194">
        <f t="shared" si="1"/>
        <v>13.030290084162857</v>
      </c>
    </row>
    <row r="49" spans="1:17" ht="13.5">
      <c r="A49" s="179">
        <v>42</v>
      </c>
      <c r="B49" s="208" t="s">
        <v>310</v>
      </c>
      <c r="C49" s="204">
        <v>290</v>
      </c>
      <c r="D49" s="204">
        <v>1377.36</v>
      </c>
      <c r="E49" s="204">
        <v>1</v>
      </c>
      <c r="F49" s="204">
        <v>5</v>
      </c>
      <c r="G49" s="204">
        <v>0</v>
      </c>
      <c r="H49" s="204">
        <v>0</v>
      </c>
      <c r="I49" s="204">
        <v>0</v>
      </c>
      <c r="J49" s="204">
        <v>0</v>
      </c>
      <c r="K49" s="204">
        <v>0</v>
      </c>
      <c r="L49" s="204">
        <v>0</v>
      </c>
      <c r="M49" s="204">
        <v>0</v>
      </c>
      <c r="N49" s="204">
        <v>0</v>
      </c>
      <c r="O49" s="204">
        <f t="shared" si="0"/>
        <v>1</v>
      </c>
      <c r="P49" s="204">
        <f t="shared" si="0"/>
        <v>5</v>
      </c>
      <c r="Q49" s="194">
        <f t="shared" si="1"/>
        <v>0.3630133008073416</v>
      </c>
    </row>
    <row r="50" spans="1:17" ht="13.5">
      <c r="A50" s="179">
        <v>43</v>
      </c>
      <c r="B50" s="203" t="s">
        <v>311</v>
      </c>
      <c r="C50" s="204">
        <v>88</v>
      </c>
      <c r="D50" s="204">
        <v>357.91</v>
      </c>
      <c r="E50" s="204">
        <v>215</v>
      </c>
      <c r="F50" s="204">
        <v>1889.1342126</v>
      </c>
      <c r="G50" s="204">
        <v>47</v>
      </c>
      <c r="H50" s="204">
        <v>677.43058</v>
      </c>
      <c r="I50" s="204">
        <v>0</v>
      </c>
      <c r="J50" s="204">
        <v>0</v>
      </c>
      <c r="K50" s="204">
        <v>0</v>
      </c>
      <c r="L50" s="204">
        <v>0</v>
      </c>
      <c r="M50" s="204">
        <v>0</v>
      </c>
      <c r="N50" s="204">
        <v>0</v>
      </c>
      <c r="O50" s="204">
        <f t="shared" si="0"/>
        <v>262</v>
      </c>
      <c r="P50" s="204">
        <f t="shared" si="0"/>
        <v>2566.5647926</v>
      </c>
      <c r="Q50" s="194">
        <f t="shared" si="1"/>
        <v>717.0978158196194</v>
      </c>
    </row>
    <row r="51" spans="1:17" ht="13.5">
      <c r="A51" s="179">
        <v>44</v>
      </c>
      <c r="B51" s="203" t="s">
        <v>78</v>
      </c>
      <c r="C51" s="204">
        <v>928</v>
      </c>
      <c r="D51" s="204">
        <v>3588.49</v>
      </c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>
        <f t="shared" si="0"/>
        <v>0</v>
      </c>
      <c r="P51" s="204">
        <f t="shared" si="0"/>
        <v>0</v>
      </c>
      <c r="Q51" s="194">
        <f t="shared" si="1"/>
        <v>0</v>
      </c>
    </row>
    <row r="52" spans="1:17" ht="13.5">
      <c r="A52" s="183"/>
      <c r="B52" s="206" t="s">
        <v>274</v>
      </c>
      <c r="C52" s="207">
        <f>SUM(C35:C51)</f>
        <v>48070</v>
      </c>
      <c r="D52" s="207">
        <f aca="true" t="shared" si="4" ref="D52:P52">SUM(D35:D51)</f>
        <v>228137.02999999997</v>
      </c>
      <c r="E52" s="207">
        <f t="shared" si="4"/>
        <v>23765</v>
      </c>
      <c r="F52" s="207">
        <f t="shared" si="4"/>
        <v>115258.4792126</v>
      </c>
      <c r="G52" s="207">
        <f t="shared" si="4"/>
        <v>2597</v>
      </c>
      <c r="H52" s="207">
        <f t="shared" si="4"/>
        <v>53661.93058</v>
      </c>
      <c r="I52" s="207">
        <f t="shared" si="4"/>
        <v>111</v>
      </c>
      <c r="J52" s="207">
        <f t="shared" si="4"/>
        <v>9134.43332</v>
      </c>
      <c r="K52" s="207">
        <f t="shared" si="4"/>
        <v>0</v>
      </c>
      <c r="L52" s="207">
        <f t="shared" si="4"/>
        <v>0</v>
      </c>
      <c r="M52" s="207">
        <f t="shared" si="4"/>
        <v>0</v>
      </c>
      <c r="N52" s="207">
        <f t="shared" si="4"/>
        <v>0</v>
      </c>
      <c r="O52" s="207">
        <f t="shared" si="4"/>
        <v>26473</v>
      </c>
      <c r="P52" s="207">
        <f t="shared" si="4"/>
        <v>178054.84311259998</v>
      </c>
      <c r="Q52" s="181">
        <f t="shared" si="1"/>
        <v>78.04732231001691</v>
      </c>
    </row>
    <row r="53" spans="1:17" ht="13.5">
      <c r="A53" s="179">
        <v>45</v>
      </c>
      <c r="B53" s="203" t="s">
        <v>48</v>
      </c>
      <c r="C53" s="204">
        <f>20956-2267-6000</f>
        <v>12689</v>
      </c>
      <c r="D53" s="204">
        <f>82696-45772</f>
        <v>36924</v>
      </c>
      <c r="E53" s="204">
        <v>315</v>
      </c>
      <c r="F53" s="204">
        <v>1012</v>
      </c>
      <c r="G53" s="204">
        <v>77</v>
      </c>
      <c r="H53" s="204">
        <v>229</v>
      </c>
      <c r="I53" s="204">
        <v>0</v>
      </c>
      <c r="J53" s="204">
        <v>0</v>
      </c>
      <c r="K53" s="204">
        <v>2</v>
      </c>
      <c r="L53" s="204">
        <v>24</v>
      </c>
      <c r="M53" s="204">
        <v>0</v>
      </c>
      <c r="N53" s="204">
        <v>0</v>
      </c>
      <c r="O53" s="204">
        <f t="shared" si="0"/>
        <v>394</v>
      </c>
      <c r="P53" s="204">
        <f t="shared" si="0"/>
        <v>1265</v>
      </c>
      <c r="Q53" s="194">
        <f t="shared" si="1"/>
        <v>3.4259560177662225</v>
      </c>
    </row>
    <row r="54" spans="1:17" ht="13.5">
      <c r="A54" s="179">
        <v>46</v>
      </c>
      <c r="B54" s="203" t="s">
        <v>269</v>
      </c>
      <c r="C54" s="204">
        <v>11420.1383405531</v>
      </c>
      <c r="D54" s="204">
        <v>24495.33</v>
      </c>
      <c r="E54" s="204">
        <v>8704</v>
      </c>
      <c r="F54" s="204">
        <v>8268</v>
      </c>
      <c r="G54" s="204">
        <v>0</v>
      </c>
      <c r="H54" s="204">
        <v>0</v>
      </c>
      <c r="I54" s="204">
        <v>0</v>
      </c>
      <c r="J54" s="204">
        <v>0</v>
      </c>
      <c r="K54" s="204">
        <v>1</v>
      </c>
      <c r="L54" s="204">
        <v>2</v>
      </c>
      <c r="M54" s="204">
        <v>0</v>
      </c>
      <c r="N54" s="204">
        <v>0</v>
      </c>
      <c r="O54" s="204">
        <f t="shared" si="0"/>
        <v>8705</v>
      </c>
      <c r="P54" s="204">
        <f t="shared" si="0"/>
        <v>8270</v>
      </c>
      <c r="Q54" s="194">
        <f t="shared" si="1"/>
        <v>33.761537403251964</v>
      </c>
    </row>
    <row r="55" spans="1:17" ht="13.5">
      <c r="A55" s="179">
        <v>47</v>
      </c>
      <c r="B55" s="203" t="s">
        <v>54</v>
      </c>
      <c r="C55" s="204">
        <v>9666.83193694042</v>
      </c>
      <c r="D55" s="204">
        <v>20726.86</v>
      </c>
      <c r="E55" s="204">
        <v>2168</v>
      </c>
      <c r="F55" s="204">
        <v>2336</v>
      </c>
      <c r="G55" s="204">
        <v>29</v>
      </c>
      <c r="H55" s="204">
        <v>67.12</v>
      </c>
      <c r="I55" s="204">
        <v>0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f t="shared" si="0"/>
        <v>2197</v>
      </c>
      <c r="P55" s="204">
        <f t="shared" si="0"/>
        <v>2403.12</v>
      </c>
      <c r="Q55" s="194">
        <f t="shared" si="1"/>
        <v>11.594230867579556</v>
      </c>
    </row>
    <row r="56" spans="1:17" ht="13.5">
      <c r="A56" s="183"/>
      <c r="B56" s="206" t="s">
        <v>270</v>
      </c>
      <c r="C56" s="207">
        <f>SUM(C53:C55)</f>
        <v>33775.97027749352</v>
      </c>
      <c r="D56" s="207">
        <f aca="true" t="shared" si="5" ref="D56:P56">SUM(D53:D55)</f>
        <v>82146.19</v>
      </c>
      <c r="E56" s="207">
        <f t="shared" si="5"/>
        <v>11187</v>
      </c>
      <c r="F56" s="207">
        <f t="shared" si="5"/>
        <v>11616</v>
      </c>
      <c r="G56" s="207">
        <f t="shared" si="5"/>
        <v>106</v>
      </c>
      <c r="H56" s="207">
        <f t="shared" si="5"/>
        <v>296.12</v>
      </c>
      <c r="I56" s="207">
        <f t="shared" si="5"/>
        <v>0</v>
      </c>
      <c r="J56" s="207">
        <f t="shared" si="5"/>
        <v>0</v>
      </c>
      <c r="K56" s="207">
        <f t="shared" si="5"/>
        <v>3</v>
      </c>
      <c r="L56" s="207">
        <f t="shared" si="5"/>
        <v>26</v>
      </c>
      <c r="M56" s="207">
        <f t="shared" si="5"/>
        <v>0</v>
      </c>
      <c r="N56" s="207">
        <f t="shared" si="5"/>
        <v>0</v>
      </c>
      <c r="O56" s="207">
        <f t="shared" si="5"/>
        <v>11296</v>
      </c>
      <c r="P56" s="207">
        <f t="shared" si="5"/>
        <v>11938.119999999999</v>
      </c>
      <c r="Q56" s="194">
        <f t="shared" si="1"/>
        <v>14.532773826759342</v>
      </c>
    </row>
    <row r="57" spans="1:17" ht="13.5">
      <c r="A57" s="179">
        <v>48</v>
      </c>
      <c r="B57" s="203" t="s">
        <v>312</v>
      </c>
      <c r="C57" s="204">
        <v>19657</v>
      </c>
      <c r="D57" s="204">
        <v>107222.6</v>
      </c>
      <c r="E57" s="204"/>
      <c r="F57" s="204"/>
      <c r="G57" s="204"/>
      <c r="H57" s="204"/>
      <c r="I57" s="204"/>
      <c r="J57" s="204"/>
      <c r="K57" s="204"/>
      <c r="L57" s="204"/>
      <c r="M57" s="204"/>
      <c r="N57" s="204">
        <v>1202</v>
      </c>
      <c r="O57" s="204">
        <f t="shared" si="0"/>
        <v>0</v>
      </c>
      <c r="P57" s="204">
        <f t="shared" si="0"/>
        <v>1202</v>
      </c>
      <c r="Q57" s="194">
        <f t="shared" si="1"/>
        <v>1.1210323196788736</v>
      </c>
    </row>
    <row r="58" spans="1:17" ht="13.5">
      <c r="A58" s="183"/>
      <c r="B58" s="206" t="s">
        <v>275</v>
      </c>
      <c r="C58" s="207">
        <f>C57</f>
        <v>19657</v>
      </c>
      <c r="D58" s="207">
        <f aca="true" t="shared" si="6" ref="D58:P58">D57</f>
        <v>107222.6</v>
      </c>
      <c r="E58" s="207">
        <f t="shared" si="6"/>
        <v>0</v>
      </c>
      <c r="F58" s="207">
        <f t="shared" si="6"/>
        <v>0</v>
      </c>
      <c r="G58" s="207">
        <f t="shared" si="6"/>
        <v>0</v>
      </c>
      <c r="H58" s="207">
        <f t="shared" si="6"/>
        <v>0</v>
      </c>
      <c r="I58" s="207">
        <f t="shared" si="6"/>
        <v>0</v>
      </c>
      <c r="J58" s="207">
        <f t="shared" si="6"/>
        <v>0</v>
      </c>
      <c r="K58" s="207">
        <f t="shared" si="6"/>
        <v>0</v>
      </c>
      <c r="L58" s="207">
        <f t="shared" si="6"/>
        <v>0</v>
      </c>
      <c r="M58" s="207">
        <f t="shared" si="6"/>
        <v>0</v>
      </c>
      <c r="N58" s="207">
        <f t="shared" si="6"/>
        <v>1202</v>
      </c>
      <c r="O58" s="207">
        <f t="shared" si="6"/>
        <v>0</v>
      </c>
      <c r="P58" s="207">
        <f t="shared" si="6"/>
        <v>1202</v>
      </c>
      <c r="Q58" s="181">
        <f t="shared" si="1"/>
        <v>1.1210323196788736</v>
      </c>
    </row>
    <row r="59" spans="1:17" s="195" customFormat="1" ht="13.5">
      <c r="A59" s="183"/>
      <c r="B59" s="206" t="s">
        <v>276</v>
      </c>
      <c r="C59" s="207">
        <f>C58+C56+C52+C34+C27</f>
        <v>382923.9702774935</v>
      </c>
      <c r="D59" s="207">
        <f aca="true" t="shared" si="7" ref="D59:P59">D58+D56+D52+D34+D27</f>
        <v>1612329.16</v>
      </c>
      <c r="E59" s="207">
        <f t="shared" si="7"/>
        <v>86362</v>
      </c>
      <c r="F59" s="207">
        <f t="shared" si="7"/>
        <v>337357.1792126</v>
      </c>
      <c r="G59" s="207">
        <f t="shared" si="7"/>
        <v>11026</v>
      </c>
      <c r="H59" s="207">
        <f t="shared" si="7"/>
        <v>285565.31058</v>
      </c>
      <c r="I59" s="207">
        <f t="shared" si="7"/>
        <v>585</v>
      </c>
      <c r="J59" s="207">
        <f t="shared" si="7"/>
        <v>97998.01332</v>
      </c>
      <c r="K59" s="207">
        <f t="shared" si="7"/>
        <v>192</v>
      </c>
      <c r="L59" s="207">
        <f t="shared" si="7"/>
        <v>940.009</v>
      </c>
      <c r="M59" s="207">
        <f t="shared" si="7"/>
        <v>2506</v>
      </c>
      <c r="N59" s="207">
        <f t="shared" si="7"/>
        <v>10045.04</v>
      </c>
      <c r="O59" s="207">
        <f t="shared" si="7"/>
        <v>100671</v>
      </c>
      <c r="P59" s="207">
        <f t="shared" si="7"/>
        <v>731905.5521126001</v>
      </c>
      <c r="Q59" s="181">
        <f t="shared" si="1"/>
        <v>45.39430100691103</v>
      </c>
    </row>
  </sheetData>
  <sheetProtection/>
  <mergeCells count="12">
    <mergeCell ref="A1:P1"/>
    <mergeCell ref="A3:A5"/>
    <mergeCell ref="B3:B5"/>
    <mergeCell ref="E3:P3"/>
    <mergeCell ref="E4:F4"/>
    <mergeCell ref="G4:H4"/>
    <mergeCell ref="I4:J4"/>
    <mergeCell ref="K4:L4"/>
    <mergeCell ref="M4:N4"/>
    <mergeCell ref="O4:P4"/>
    <mergeCell ref="C3:D4"/>
    <mergeCell ref="Q3:Q5"/>
  </mergeCells>
  <conditionalFormatting sqref="B6">
    <cfRule type="duplicateValues" priority="2" dxfId="197">
      <formula>AND(COUNTIF($B$6:$B$6,B6)&gt;1,NOT(ISBLANK(B6)))</formula>
    </cfRule>
  </conditionalFormatting>
  <conditionalFormatting sqref="B22">
    <cfRule type="duplicateValues" priority="3" dxfId="197">
      <formula>AND(COUNTIF($B$22:$B$22,B22)&gt;1,NOT(ISBLANK(B22)))</formula>
    </cfRule>
  </conditionalFormatting>
  <conditionalFormatting sqref="B33:B34 B26:B30">
    <cfRule type="duplicateValues" priority="4" dxfId="197">
      <formula>AND(COUNTIF($B$33:$B$34,B26)+COUNTIF($B$26:$B$30,B26)&gt;1,NOT(ISBLANK(B26)))</formula>
    </cfRule>
  </conditionalFormatting>
  <conditionalFormatting sqref="B52">
    <cfRule type="duplicateValues" priority="5" dxfId="197">
      <formula>AND(COUNTIF($B$52:$B$52,B52)&gt;1,NOT(ISBLANK(B52)))</formula>
    </cfRule>
  </conditionalFormatting>
  <conditionalFormatting sqref="B56">
    <cfRule type="duplicateValues" priority="6" dxfId="197">
      <formula>AND(COUNTIF($B$56:$B$56,B56)&gt;1,NOT(ISBLANK(B56)))</formula>
    </cfRule>
  </conditionalFormatting>
  <conditionalFormatting sqref="B58">
    <cfRule type="duplicateValues" priority="7" dxfId="197">
      <formula>AND(COUNTIF($B$58:$B$58,B58)&gt;1,NOT(ISBLANK(B58)))</formula>
    </cfRule>
  </conditionalFormatting>
  <conditionalFormatting sqref="Q1:Q65536">
    <cfRule type="cellIs" priority="1" dxfId="198" operator="greaterThan" stopIfTrue="1">
      <formula>100</formula>
    </cfRule>
  </conditionalFormatting>
  <printOptions/>
  <pageMargins left="0.5" right="0.2" top="0.25" bottom="0.25" header="0.05" footer="0.05"/>
  <pageSetup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Q59"/>
  <sheetViews>
    <sheetView view="pageBreakPreview" zoomScale="60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2" sqref="A52:IV52"/>
    </sheetView>
  </sheetViews>
  <sheetFormatPr defaultColWidth="4.421875" defaultRowHeight="12.75"/>
  <cols>
    <col min="1" max="1" width="4.421875" style="192" customWidth="1"/>
    <col min="2" max="2" width="21.8515625" style="192" bestFit="1" customWidth="1"/>
    <col min="3" max="3" width="8.00390625" style="198" bestFit="1" customWidth="1"/>
    <col min="4" max="4" width="10.140625" style="198" bestFit="1" customWidth="1"/>
    <col min="5" max="5" width="8.00390625" style="198" bestFit="1" customWidth="1"/>
    <col min="6" max="6" width="8.140625" style="198" bestFit="1" customWidth="1"/>
    <col min="7" max="7" width="8.140625" style="200" customWidth="1"/>
    <col min="8" max="9" width="10.140625" style="198" bestFit="1" customWidth="1"/>
    <col min="10" max="10" width="8.00390625" style="198" bestFit="1" customWidth="1"/>
    <col min="11" max="11" width="8.140625" style="198" bestFit="1" customWidth="1"/>
    <col min="12" max="12" width="8.140625" style="200" customWidth="1"/>
    <col min="13" max="13" width="10.140625" style="198" bestFit="1" customWidth="1"/>
    <col min="14" max="14" width="10.421875" style="198" bestFit="1" customWidth="1"/>
    <col min="15" max="16" width="10.140625" style="198" bestFit="1" customWidth="1"/>
    <col min="17" max="17" width="8.421875" style="200" customWidth="1"/>
    <col min="18" max="18" width="6.00390625" style="192" bestFit="1" customWidth="1"/>
    <col min="19" max="16384" width="4.421875" style="192" customWidth="1"/>
  </cols>
  <sheetData>
    <row r="1" spans="1:17" ht="18.75">
      <c r="A1" s="585" t="s">
        <v>179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</row>
    <row r="2" spans="2:16" ht="13.5">
      <c r="B2" s="195" t="s">
        <v>141</v>
      </c>
      <c r="C2" s="197"/>
      <c r="D2" s="197"/>
      <c r="N2" s="598" t="s">
        <v>334</v>
      </c>
      <c r="O2" s="598"/>
      <c r="P2" s="598"/>
    </row>
    <row r="3" spans="1:17" ht="34.5" customHeight="1">
      <c r="A3" s="584" t="s">
        <v>124</v>
      </c>
      <c r="B3" s="584" t="s">
        <v>102</v>
      </c>
      <c r="C3" s="583" t="s">
        <v>35</v>
      </c>
      <c r="D3" s="583"/>
      <c r="E3" s="583"/>
      <c r="F3" s="583"/>
      <c r="G3" s="586" t="s">
        <v>178</v>
      </c>
      <c r="H3" s="583" t="s">
        <v>20</v>
      </c>
      <c r="I3" s="583"/>
      <c r="J3" s="583"/>
      <c r="K3" s="583"/>
      <c r="L3" s="586" t="s">
        <v>178</v>
      </c>
      <c r="M3" s="583" t="s">
        <v>19</v>
      </c>
      <c r="N3" s="583"/>
      <c r="O3" s="583"/>
      <c r="P3" s="583"/>
      <c r="Q3" s="586" t="s">
        <v>178</v>
      </c>
    </row>
    <row r="4" spans="1:17" ht="34.5" customHeight="1">
      <c r="A4" s="584"/>
      <c r="B4" s="584"/>
      <c r="C4" s="583" t="s">
        <v>21</v>
      </c>
      <c r="D4" s="583"/>
      <c r="E4" s="583" t="s">
        <v>181</v>
      </c>
      <c r="F4" s="583"/>
      <c r="G4" s="586"/>
      <c r="H4" s="583" t="s">
        <v>21</v>
      </c>
      <c r="I4" s="583"/>
      <c r="J4" s="583" t="s">
        <v>181</v>
      </c>
      <c r="K4" s="583"/>
      <c r="L4" s="586"/>
      <c r="M4" s="583" t="s">
        <v>21</v>
      </c>
      <c r="N4" s="583"/>
      <c r="O4" s="583" t="s">
        <v>181</v>
      </c>
      <c r="P4" s="583"/>
      <c r="Q4" s="586"/>
    </row>
    <row r="5" spans="1:17" ht="34.5" customHeight="1">
      <c r="A5" s="584"/>
      <c r="B5" s="584"/>
      <c r="C5" s="201" t="s">
        <v>128</v>
      </c>
      <c r="D5" s="201" t="s">
        <v>101</v>
      </c>
      <c r="E5" s="201" t="s">
        <v>128</v>
      </c>
      <c r="F5" s="201" t="s">
        <v>101</v>
      </c>
      <c r="G5" s="586"/>
      <c r="H5" s="201" t="s">
        <v>128</v>
      </c>
      <c r="I5" s="201" t="s">
        <v>101</v>
      </c>
      <c r="J5" s="201" t="s">
        <v>128</v>
      </c>
      <c r="K5" s="201" t="s">
        <v>101</v>
      </c>
      <c r="L5" s="586"/>
      <c r="M5" s="201" t="s">
        <v>128</v>
      </c>
      <c r="N5" s="201" t="s">
        <v>101</v>
      </c>
      <c r="O5" s="201" t="s">
        <v>128</v>
      </c>
      <c r="P5" s="201" t="s">
        <v>101</v>
      </c>
      <c r="Q5" s="586"/>
    </row>
    <row r="6" spans="1:17" ht="13.5">
      <c r="A6" s="179">
        <v>1</v>
      </c>
      <c r="B6" s="203" t="s">
        <v>57</v>
      </c>
      <c r="C6" s="204">
        <v>48</v>
      </c>
      <c r="D6" s="204">
        <v>1025</v>
      </c>
      <c r="E6" s="204">
        <v>0</v>
      </c>
      <c r="F6" s="204">
        <v>0</v>
      </c>
      <c r="G6" s="194">
        <f>F6*100/D6</f>
        <v>0</v>
      </c>
      <c r="H6" s="204">
        <v>1532</v>
      </c>
      <c r="I6" s="204">
        <v>6037.08</v>
      </c>
      <c r="J6" s="204">
        <v>215</v>
      </c>
      <c r="K6" s="204">
        <v>237.5</v>
      </c>
      <c r="L6" s="194">
        <f>K6*100/I6</f>
        <v>3.9340210830401454</v>
      </c>
      <c r="M6" s="204">
        <v>6615</v>
      </c>
      <c r="N6" s="204">
        <v>22613.44</v>
      </c>
      <c r="O6" s="204">
        <v>1975</v>
      </c>
      <c r="P6" s="204">
        <v>2749.9</v>
      </c>
      <c r="Q6" s="194">
        <f>P6*100/N6</f>
        <v>12.160467403455645</v>
      </c>
    </row>
    <row r="7" spans="1:17" ht="13.5">
      <c r="A7" s="179">
        <v>2</v>
      </c>
      <c r="B7" s="203" t="s">
        <v>58</v>
      </c>
      <c r="C7" s="204">
        <v>0</v>
      </c>
      <c r="D7" s="204">
        <v>0</v>
      </c>
      <c r="E7" s="204">
        <v>0</v>
      </c>
      <c r="F7" s="204">
        <v>0</v>
      </c>
      <c r="G7" s="194">
        <v>0</v>
      </c>
      <c r="H7" s="204">
        <v>208</v>
      </c>
      <c r="I7" s="204">
        <v>713.4</v>
      </c>
      <c r="J7" s="204">
        <v>18</v>
      </c>
      <c r="K7" s="204">
        <v>26</v>
      </c>
      <c r="L7" s="194">
        <f aca="true" t="shared" si="0" ref="L7:L59">K7*100/I7</f>
        <v>3.644519203812728</v>
      </c>
      <c r="M7" s="204">
        <v>656</v>
      </c>
      <c r="N7" s="204">
        <v>2868.62</v>
      </c>
      <c r="O7" s="204">
        <v>156</v>
      </c>
      <c r="P7" s="204">
        <v>694</v>
      </c>
      <c r="Q7" s="194">
        <f aca="true" t="shared" si="1" ref="Q7:Q59">P7*100/N7</f>
        <v>24.192817452294136</v>
      </c>
    </row>
    <row r="8" spans="1:17" ht="13.5">
      <c r="A8" s="179">
        <v>3</v>
      </c>
      <c r="B8" s="203" t="s">
        <v>59</v>
      </c>
      <c r="C8" s="204">
        <v>96</v>
      </c>
      <c r="D8" s="204">
        <v>5068.75</v>
      </c>
      <c r="E8" s="204">
        <v>0</v>
      </c>
      <c r="F8" s="204">
        <v>0</v>
      </c>
      <c r="G8" s="194">
        <f>F8*100/D8</f>
        <v>0</v>
      </c>
      <c r="H8" s="204">
        <v>1222</v>
      </c>
      <c r="I8" s="204">
        <v>4359.5</v>
      </c>
      <c r="J8" s="204">
        <v>287</v>
      </c>
      <c r="K8" s="204">
        <v>802</v>
      </c>
      <c r="L8" s="194">
        <f t="shared" si="0"/>
        <v>18.396605115265512</v>
      </c>
      <c r="M8" s="204">
        <v>5556</v>
      </c>
      <c r="N8" s="204">
        <v>19368.04</v>
      </c>
      <c r="O8" s="204">
        <v>2041</v>
      </c>
      <c r="P8" s="204">
        <v>4097</v>
      </c>
      <c r="Q8" s="194">
        <f t="shared" si="1"/>
        <v>21.15340530069124</v>
      </c>
    </row>
    <row r="9" spans="1:17" ht="13.5">
      <c r="A9" s="179">
        <v>4</v>
      </c>
      <c r="B9" s="203" t="s">
        <v>60</v>
      </c>
      <c r="C9" s="204">
        <v>174</v>
      </c>
      <c r="D9" s="204">
        <v>6132.52</v>
      </c>
      <c r="E9" s="204">
        <v>0</v>
      </c>
      <c r="F9" s="204">
        <v>0</v>
      </c>
      <c r="G9" s="194">
        <f>F9*100/D9</f>
        <v>0</v>
      </c>
      <c r="H9" s="204">
        <v>1940</v>
      </c>
      <c r="I9" s="204">
        <v>7375.02</v>
      </c>
      <c r="J9" s="204">
        <v>793</v>
      </c>
      <c r="K9" s="204">
        <v>546</v>
      </c>
      <c r="L9" s="194">
        <f t="shared" si="0"/>
        <v>7.403369753573549</v>
      </c>
      <c r="M9" s="204">
        <v>8333</v>
      </c>
      <c r="N9" s="204">
        <v>29815.5</v>
      </c>
      <c r="O9" s="204">
        <v>6597</v>
      </c>
      <c r="P9" s="204">
        <v>2267.92</v>
      </c>
      <c r="Q9" s="194">
        <f t="shared" si="1"/>
        <v>7.606513390686053</v>
      </c>
    </row>
    <row r="10" spans="1:17" ht="13.5">
      <c r="A10" s="179">
        <v>5</v>
      </c>
      <c r="B10" s="203" t="s">
        <v>61</v>
      </c>
      <c r="C10" s="204">
        <v>0</v>
      </c>
      <c r="D10" s="204">
        <v>0</v>
      </c>
      <c r="E10" s="204">
        <v>0</v>
      </c>
      <c r="F10" s="204">
        <v>0</v>
      </c>
      <c r="G10" s="194">
        <v>0</v>
      </c>
      <c r="H10" s="204">
        <v>782</v>
      </c>
      <c r="I10" s="204">
        <v>2654.65</v>
      </c>
      <c r="J10" s="204">
        <v>79</v>
      </c>
      <c r="K10" s="204">
        <v>81.78</v>
      </c>
      <c r="L10" s="194">
        <f t="shared" si="0"/>
        <v>3.080632098393385</v>
      </c>
      <c r="M10" s="204">
        <v>4004</v>
      </c>
      <c r="N10" s="204">
        <v>10420.85</v>
      </c>
      <c r="O10" s="204">
        <v>2174</v>
      </c>
      <c r="P10" s="204">
        <v>1729.55</v>
      </c>
      <c r="Q10" s="194">
        <f t="shared" si="1"/>
        <v>16.59701463892101</v>
      </c>
    </row>
    <row r="11" spans="1:17" ht="13.5">
      <c r="A11" s="179">
        <v>6</v>
      </c>
      <c r="B11" s="205" t="s">
        <v>289</v>
      </c>
      <c r="C11" s="204">
        <v>0</v>
      </c>
      <c r="D11" s="204">
        <v>0</v>
      </c>
      <c r="E11" s="204">
        <v>0</v>
      </c>
      <c r="F11" s="204">
        <v>0</v>
      </c>
      <c r="G11" s="194">
        <v>0</v>
      </c>
      <c r="H11" s="204">
        <v>14</v>
      </c>
      <c r="I11" s="204">
        <v>26</v>
      </c>
      <c r="J11" s="204">
        <v>11</v>
      </c>
      <c r="K11" s="204">
        <v>21.64</v>
      </c>
      <c r="L11" s="194">
        <f t="shared" si="0"/>
        <v>83.23076923076923</v>
      </c>
      <c r="M11" s="204">
        <v>145</v>
      </c>
      <c r="N11" s="204">
        <v>261.8</v>
      </c>
      <c r="O11" s="204">
        <v>15</v>
      </c>
      <c r="P11" s="204">
        <v>122.51</v>
      </c>
      <c r="Q11" s="194">
        <f t="shared" si="1"/>
        <v>46.79526355996944</v>
      </c>
    </row>
    <row r="12" spans="1:17" ht="13.5">
      <c r="A12" s="179">
        <v>7</v>
      </c>
      <c r="B12" s="203" t="s">
        <v>62</v>
      </c>
      <c r="C12" s="204">
        <v>24</v>
      </c>
      <c r="D12" s="204">
        <v>1654.08</v>
      </c>
      <c r="E12" s="204">
        <v>0</v>
      </c>
      <c r="F12" s="204">
        <v>0</v>
      </c>
      <c r="G12" s="194">
        <f>F12*100/D12</f>
        <v>0</v>
      </c>
      <c r="H12" s="204">
        <v>674</v>
      </c>
      <c r="I12" s="204">
        <v>2613.86</v>
      </c>
      <c r="J12" s="204">
        <v>298</v>
      </c>
      <c r="K12" s="204">
        <v>403</v>
      </c>
      <c r="L12" s="194">
        <f t="shared" si="0"/>
        <v>15.417811206415033</v>
      </c>
      <c r="M12" s="204">
        <v>2730</v>
      </c>
      <c r="N12" s="204">
        <v>11616.45</v>
      </c>
      <c r="O12" s="204">
        <v>922</v>
      </c>
      <c r="P12" s="204">
        <v>2892</v>
      </c>
      <c r="Q12" s="194">
        <f t="shared" si="1"/>
        <v>24.895729762535023</v>
      </c>
    </row>
    <row r="13" spans="1:17" ht="13.5">
      <c r="A13" s="179">
        <v>8</v>
      </c>
      <c r="B13" s="203" t="s">
        <v>63</v>
      </c>
      <c r="C13" s="204">
        <v>145</v>
      </c>
      <c r="D13" s="204">
        <v>3255.65</v>
      </c>
      <c r="E13" s="204">
        <v>0</v>
      </c>
      <c r="F13" s="204">
        <v>0</v>
      </c>
      <c r="G13" s="194">
        <f>F13*100/D13</f>
        <v>0</v>
      </c>
      <c r="H13" s="204">
        <v>2716</v>
      </c>
      <c r="I13" s="204">
        <v>9982.86</v>
      </c>
      <c r="J13" s="204">
        <v>112</v>
      </c>
      <c r="K13" s="204">
        <v>131.59</v>
      </c>
      <c r="L13" s="194">
        <f t="shared" si="0"/>
        <v>1.3181593250831924</v>
      </c>
      <c r="M13" s="204">
        <v>10374</v>
      </c>
      <c r="N13" s="204">
        <v>35192.75</v>
      </c>
      <c r="O13" s="204">
        <v>1278</v>
      </c>
      <c r="P13" s="204">
        <v>2175.96</v>
      </c>
      <c r="Q13" s="194">
        <f t="shared" si="1"/>
        <v>6.182978028145001</v>
      </c>
    </row>
    <row r="14" spans="1:17" ht="13.5">
      <c r="A14" s="179">
        <v>9</v>
      </c>
      <c r="B14" s="203" t="s">
        <v>50</v>
      </c>
      <c r="C14" s="204">
        <v>18</v>
      </c>
      <c r="D14" s="204">
        <v>537.7</v>
      </c>
      <c r="E14" s="204">
        <v>0</v>
      </c>
      <c r="F14" s="204">
        <v>0</v>
      </c>
      <c r="G14" s="194">
        <f>F14*100/D14</f>
        <v>0</v>
      </c>
      <c r="H14" s="204">
        <v>370</v>
      </c>
      <c r="I14" s="204">
        <v>1220.28</v>
      </c>
      <c r="J14" s="204">
        <v>395</v>
      </c>
      <c r="K14" s="204">
        <v>1060</v>
      </c>
      <c r="L14" s="194">
        <f t="shared" si="0"/>
        <v>86.86530960107517</v>
      </c>
      <c r="M14" s="204">
        <v>1288</v>
      </c>
      <c r="N14" s="204">
        <v>4841.9</v>
      </c>
      <c r="O14" s="204">
        <v>9562</v>
      </c>
      <c r="P14" s="204">
        <v>9850</v>
      </c>
      <c r="Q14" s="194">
        <f t="shared" si="1"/>
        <v>203.4325368140606</v>
      </c>
    </row>
    <row r="15" spans="1:17" ht="13.5">
      <c r="A15" s="179">
        <v>10</v>
      </c>
      <c r="B15" s="203" t="s">
        <v>51</v>
      </c>
      <c r="C15" s="204">
        <v>0</v>
      </c>
      <c r="D15" s="204">
        <v>0</v>
      </c>
      <c r="E15" s="204">
        <v>7</v>
      </c>
      <c r="F15" s="204">
        <v>622</v>
      </c>
      <c r="G15" s="194">
        <v>0</v>
      </c>
      <c r="H15" s="204">
        <v>408</v>
      </c>
      <c r="I15" s="204">
        <v>1470.88</v>
      </c>
      <c r="J15" s="204">
        <v>17</v>
      </c>
      <c r="K15" s="204">
        <v>52</v>
      </c>
      <c r="L15" s="194">
        <f t="shared" si="0"/>
        <v>3.5352985967584027</v>
      </c>
      <c r="M15" s="204">
        <v>1464</v>
      </c>
      <c r="N15" s="204">
        <v>5667.64</v>
      </c>
      <c r="O15" s="204">
        <v>89</v>
      </c>
      <c r="P15" s="204">
        <v>885</v>
      </c>
      <c r="Q15" s="194">
        <f t="shared" si="1"/>
        <v>15.61496495895999</v>
      </c>
    </row>
    <row r="16" spans="1:17" ht="13.5">
      <c r="A16" s="179">
        <v>11</v>
      </c>
      <c r="B16" s="203" t="s">
        <v>290</v>
      </c>
      <c r="C16" s="204">
        <v>0</v>
      </c>
      <c r="D16" s="204">
        <v>0</v>
      </c>
      <c r="E16" s="204">
        <v>0</v>
      </c>
      <c r="F16" s="204">
        <v>0</v>
      </c>
      <c r="G16" s="194">
        <v>0</v>
      </c>
      <c r="H16" s="204">
        <v>280</v>
      </c>
      <c r="I16" s="204">
        <v>910.55</v>
      </c>
      <c r="J16" s="204">
        <v>100</v>
      </c>
      <c r="K16" s="204">
        <v>151.67</v>
      </c>
      <c r="L16" s="194">
        <f t="shared" si="0"/>
        <v>16.656965570259732</v>
      </c>
      <c r="M16" s="204">
        <v>924</v>
      </c>
      <c r="N16" s="204">
        <v>3651.61</v>
      </c>
      <c r="O16" s="204">
        <v>362</v>
      </c>
      <c r="P16" s="204">
        <v>1806.85</v>
      </c>
      <c r="Q16" s="194">
        <f t="shared" si="1"/>
        <v>49.4809138982531</v>
      </c>
    </row>
    <row r="17" spans="1:17" ht="13.5">
      <c r="A17" s="179">
        <v>12</v>
      </c>
      <c r="B17" s="203" t="s">
        <v>64</v>
      </c>
      <c r="C17" s="204">
        <v>0</v>
      </c>
      <c r="D17" s="204">
        <v>0</v>
      </c>
      <c r="E17" s="204">
        <v>0</v>
      </c>
      <c r="F17" s="204">
        <v>0</v>
      </c>
      <c r="G17" s="194">
        <v>0</v>
      </c>
      <c r="H17" s="204">
        <v>222</v>
      </c>
      <c r="I17" s="204">
        <v>841.32</v>
      </c>
      <c r="J17" s="204">
        <v>105</v>
      </c>
      <c r="K17" s="204">
        <v>248.54</v>
      </c>
      <c r="L17" s="194">
        <f t="shared" si="0"/>
        <v>29.541672609708552</v>
      </c>
      <c r="M17" s="204">
        <v>588</v>
      </c>
      <c r="N17" s="204">
        <v>2589.24</v>
      </c>
      <c r="O17" s="204">
        <v>455</v>
      </c>
      <c r="P17" s="204">
        <v>2724.6</v>
      </c>
      <c r="Q17" s="194">
        <f t="shared" si="1"/>
        <v>105.22778884923763</v>
      </c>
    </row>
    <row r="18" spans="1:17" ht="13.5">
      <c r="A18" s="179">
        <v>13</v>
      </c>
      <c r="B18" s="203" t="s">
        <v>65</v>
      </c>
      <c r="C18" s="204">
        <v>0</v>
      </c>
      <c r="D18" s="204">
        <v>0</v>
      </c>
      <c r="E18" s="204">
        <v>0</v>
      </c>
      <c r="F18" s="204">
        <v>0</v>
      </c>
      <c r="G18" s="194">
        <v>0</v>
      </c>
      <c r="H18" s="204">
        <v>246</v>
      </c>
      <c r="I18" s="204">
        <v>863.7</v>
      </c>
      <c r="J18" s="204">
        <v>9</v>
      </c>
      <c r="K18" s="204">
        <v>18.08</v>
      </c>
      <c r="L18" s="194">
        <f t="shared" si="0"/>
        <v>2.093319439620238</v>
      </c>
      <c r="M18" s="204">
        <v>976</v>
      </c>
      <c r="N18" s="204">
        <v>3918.78</v>
      </c>
      <c r="O18" s="204">
        <v>189</v>
      </c>
      <c r="P18" s="204">
        <v>259.5</v>
      </c>
      <c r="Q18" s="194">
        <f t="shared" si="1"/>
        <v>6.621958874955981</v>
      </c>
    </row>
    <row r="19" spans="1:17" ht="13.5">
      <c r="A19" s="179">
        <v>14</v>
      </c>
      <c r="B19" s="134" t="s">
        <v>291</v>
      </c>
      <c r="C19" s="204">
        <v>24</v>
      </c>
      <c r="D19" s="204">
        <v>112.14</v>
      </c>
      <c r="E19" s="204">
        <v>0</v>
      </c>
      <c r="F19" s="204">
        <v>0</v>
      </c>
      <c r="G19" s="194">
        <f>F19*100/D19</f>
        <v>0</v>
      </c>
      <c r="H19" s="204">
        <v>1044</v>
      </c>
      <c r="I19" s="204">
        <v>3834.33</v>
      </c>
      <c r="J19" s="204">
        <v>48</v>
      </c>
      <c r="K19" s="204">
        <v>104.65</v>
      </c>
      <c r="L19" s="194">
        <f t="shared" si="0"/>
        <v>2.7292903845000303</v>
      </c>
      <c r="M19" s="204">
        <v>3579</v>
      </c>
      <c r="N19" s="204">
        <v>14738.38</v>
      </c>
      <c r="O19" s="204">
        <v>323</v>
      </c>
      <c r="P19" s="204">
        <v>835.3</v>
      </c>
      <c r="Q19" s="194">
        <f t="shared" si="1"/>
        <v>5.667515697111894</v>
      </c>
    </row>
    <row r="20" spans="1:17" ht="13.5">
      <c r="A20" s="179">
        <v>15</v>
      </c>
      <c r="B20" s="203" t="s">
        <v>292</v>
      </c>
      <c r="C20" s="204">
        <v>0</v>
      </c>
      <c r="D20" s="204">
        <v>0</v>
      </c>
      <c r="E20" s="204">
        <v>0</v>
      </c>
      <c r="F20" s="204">
        <v>0</v>
      </c>
      <c r="G20" s="194">
        <v>0</v>
      </c>
      <c r="H20" s="204">
        <v>416</v>
      </c>
      <c r="I20" s="204">
        <v>1502.3</v>
      </c>
      <c r="J20" s="204">
        <v>5</v>
      </c>
      <c r="K20" s="204">
        <v>14.78</v>
      </c>
      <c r="L20" s="194">
        <f t="shared" si="0"/>
        <v>0.9838248019703122</v>
      </c>
      <c r="M20" s="204">
        <v>1180</v>
      </c>
      <c r="N20" s="204">
        <v>4913.18</v>
      </c>
      <c r="O20" s="204">
        <v>56</v>
      </c>
      <c r="P20" s="204">
        <v>415</v>
      </c>
      <c r="Q20" s="194">
        <f t="shared" si="1"/>
        <v>8.446667942147448</v>
      </c>
    </row>
    <row r="21" spans="1:17" ht="13.5">
      <c r="A21" s="179">
        <v>16</v>
      </c>
      <c r="B21" s="203" t="s">
        <v>66</v>
      </c>
      <c r="C21" s="204">
        <v>111</v>
      </c>
      <c r="D21" s="204">
        <v>3088.84</v>
      </c>
      <c r="E21" s="204"/>
      <c r="F21" s="204"/>
      <c r="G21" s="194">
        <f>F21*100/D21</f>
        <v>0</v>
      </c>
      <c r="H21" s="204">
        <v>3332</v>
      </c>
      <c r="I21" s="204">
        <v>12392.94</v>
      </c>
      <c r="J21" s="204">
        <v>637</v>
      </c>
      <c r="K21" s="204">
        <v>680</v>
      </c>
      <c r="L21" s="194">
        <f t="shared" si="0"/>
        <v>5.486995014903647</v>
      </c>
      <c r="M21" s="204">
        <v>12873</v>
      </c>
      <c r="N21" s="204">
        <v>53805.12</v>
      </c>
      <c r="O21" s="204">
        <v>6920</v>
      </c>
      <c r="P21" s="204">
        <v>9276</v>
      </c>
      <c r="Q21" s="194">
        <f t="shared" si="1"/>
        <v>17.23999500419291</v>
      </c>
    </row>
    <row r="22" spans="1:17" ht="13.5">
      <c r="A22" s="179">
        <v>17</v>
      </c>
      <c r="B22" s="135" t="s">
        <v>67</v>
      </c>
      <c r="C22" s="204">
        <v>0</v>
      </c>
      <c r="D22" s="204">
        <v>0</v>
      </c>
      <c r="E22" s="204">
        <v>0</v>
      </c>
      <c r="F22" s="204">
        <v>0</v>
      </c>
      <c r="G22" s="194">
        <v>0</v>
      </c>
      <c r="H22" s="204">
        <v>485</v>
      </c>
      <c r="I22" s="204">
        <v>1722.98</v>
      </c>
      <c r="J22" s="204">
        <v>893</v>
      </c>
      <c r="K22" s="204">
        <v>1955</v>
      </c>
      <c r="L22" s="194">
        <f t="shared" si="0"/>
        <v>113.46620390254094</v>
      </c>
      <c r="M22" s="204">
        <v>1228</v>
      </c>
      <c r="N22" s="204">
        <v>6280.26</v>
      </c>
      <c r="O22" s="204">
        <v>17400</v>
      </c>
      <c r="P22" s="204">
        <v>7187</v>
      </c>
      <c r="Q22" s="194">
        <f t="shared" si="1"/>
        <v>114.43793728285134</v>
      </c>
    </row>
    <row r="23" spans="1:17" ht="13.5">
      <c r="A23" s="179">
        <v>18</v>
      </c>
      <c r="B23" s="130" t="s">
        <v>253</v>
      </c>
      <c r="C23" s="204">
        <v>101</v>
      </c>
      <c r="D23" s="204">
        <v>2599.65</v>
      </c>
      <c r="E23" s="204">
        <v>0</v>
      </c>
      <c r="F23" s="204">
        <v>0</v>
      </c>
      <c r="G23" s="194">
        <f>F23*100/D23</f>
        <v>0</v>
      </c>
      <c r="H23" s="204">
        <v>1008</v>
      </c>
      <c r="I23" s="204">
        <v>3442.93</v>
      </c>
      <c r="J23" s="204">
        <v>24</v>
      </c>
      <c r="K23" s="204">
        <v>91</v>
      </c>
      <c r="L23" s="194">
        <f t="shared" si="0"/>
        <v>2.643097594200289</v>
      </c>
      <c r="M23" s="204">
        <v>3792</v>
      </c>
      <c r="N23" s="204">
        <v>15487.14</v>
      </c>
      <c r="O23" s="204">
        <v>105</v>
      </c>
      <c r="P23" s="204">
        <v>1166</v>
      </c>
      <c r="Q23" s="194">
        <f t="shared" si="1"/>
        <v>7.528827143036094</v>
      </c>
    </row>
    <row r="24" spans="1:17" ht="13.5">
      <c r="A24" s="179">
        <v>19</v>
      </c>
      <c r="B24" s="136" t="s">
        <v>68</v>
      </c>
      <c r="C24" s="204">
        <v>122</v>
      </c>
      <c r="D24" s="204">
        <v>3093.84</v>
      </c>
      <c r="E24" s="204">
        <v>0</v>
      </c>
      <c r="F24" s="204">
        <v>0</v>
      </c>
      <c r="G24" s="194">
        <f>F24*100/D24</f>
        <v>0</v>
      </c>
      <c r="H24" s="204">
        <v>1498</v>
      </c>
      <c r="I24" s="204">
        <v>5699.18</v>
      </c>
      <c r="J24" s="204">
        <v>341</v>
      </c>
      <c r="K24" s="204">
        <v>331.41</v>
      </c>
      <c r="L24" s="194">
        <f t="shared" si="0"/>
        <v>5.815047076947912</v>
      </c>
      <c r="M24" s="204">
        <v>8740</v>
      </c>
      <c r="N24" s="204">
        <v>24155.22</v>
      </c>
      <c r="O24" s="204">
        <v>6698</v>
      </c>
      <c r="P24" s="204">
        <v>3511.34</v>
      </c>
      <c r="Q24" s="194">
        <f t="shared" si="1"/>
        <v>14.536568079280585</v>
      </c>
    </row>
    <row r="25" spans="1:17" ht="13.5">
      <c r="A25" s="179">
        <v>20</v>
      </c>
      <c r="B25" s="203" t="s">
        <v>69</v>
      </c>
      <c r="C25" s="204">
        <v>0</v>
      </c>
      <c r="D25" s="204">
        <v>0</v>
      </c>
      <c r="E25" s="204">
        <v>0</v>
      </c>
      <c r="F25" s="204">
        <v>0</v>
      </c>
      <c r="G25" s="194">
        <v>0</v>
      </c>
      <c r="H25" s="204">
        <v>121</v>
      </c>
      <c r="I25" s="204">
        <v>423.72</v>
      </c>
      <c r="J25" s="204">
        <v>1</v>
      </c>
      <c r="K25" s="204">
        <v>1</v>
      </c>
      <c r="L25" s="194">
        <f t="shared" si="0"/>
        <v>0.23600490890210515</v>
      </c>
      <c r="M25" s="204">
        <v>304</v>
      </c>
      <c r="N25" s="204">
        <v>1688.46</v>
      </c>
      <c r="O25" s="204">
        <v>14</v>
      </c>
      <c r="P25" s="204">
        <v>91</v>
      </c>
      <c r="Q25" s="194">
        <f t="shared" si="1"/>
        <v>5.389526550821459</v>
      </c>
    </row>
    <row r="26" spans="1:17" ht="13.5">
      <c r="A26" s="179">
        <v>21</v>
      </c>
      <c r="B26" s="203" t="s">
        <v>52</v>
      </c>
      <c r="C26" s="204">
        <v>0</v>
      </c>
      <c r="D26" s="204">
        <v>0</v>
      </c>
      <c r="E26" s="204">
        <v>0</v>
      </c>
      <c r="F26" s="204">
        <v>0</v>
      </c>
      <c r="G26" s="194">
        <v>0</v>
      </c>
      <c r="H26" s="204">
        <v>199</v>
      </c>
      <c r="I26" s="204">
        <v>744.65</v>
      </c>
      <c r="J26" s="204">
        <v>13</v>
      </c>
      <c r="K26" s="204">
        <v>8.49</v>
      </c>
      <c r="L26" s="194">
        <f t="shared" si="0"/>
        <v>1.1401329483650038</v>
      </c>
      <c r="M26" s="204">
        <v>744</v>
      </c>
      <c r="N26" s="204">
        <v>2911.68</v>
      </c>
      <c r="O26" s="204">
        <v>100</v>
      </c>
      <c r="P26" s="204">
        <v>700.45</v>
      </c>
      <c r="Q26" s="194">
        <f t="shared" si="1"/>
        <v>24.05655841301242</v>
      </c>
    </row>
    <row r="27" spans="1:17" s="195" customFormat="1" ht="13.5">
      <c r="A27" s="182"/>
      <c r="B27" s="206" t="s">
        <v>293</v>
      </c>
      <c r="C27" s="207">
        <f>SUM(C6:C26)</f>
        <v>863</v>
      </c>
      <c r="D27" s="207">
        <f aca="true" t="shared" si="2" ref="D27:P27">SUM(D6:D26)</f>
        <v>26568.170000000002</v>
      </c>
      <c r="E27" s="207">
        <f t="shared" si="2"/>
        <v>7</v>
      </c>
      <c r="F27" s="207">
        <f t="shared" si="2"/>
        <v>622</v>
      </c>
      <c r="G27" s="181">
        <f>F27*100/D27</f>
        <v>2.341147320270835</v>
      </c>
      <c r="H27" s="207">
        <f t="shared" si="2"/>
        <v>18717</v>
      </c>
      <c r="I27" s="207">
        <f t="shared" si="2"/>
        <v>68832.13</v>
      </c>
      <c r="J27" s="207">
        <f t="shared" si="2"/>
        <v>4401</v>
      </c>
      <c r="K27" s="207">
        <f t="shared" si="2"/>
        <v>6966.13</v>
      </c>
      <c r="L27" s="181">
        <f t="shared" si="0"/>
        <v>10.120462638596248</v>
      </c>
      <c r="M27" s="207">
        <f t="shared" si="2"/>
        <v>76093</v>
      </c>
      <c r="N27" s="207">
        <f t="shared" si="2"/>
        <v>276806.06000000006</v>
      </c>
      <c r="O27" s="207">
        <f t="shared" si="2"/>
        <v>57431</v>
      </c>
      <c r="P27" s="207">
        <f t="shared" si="2"/>
        <v>55436.87999999999</v>
      </c>
      <c r="Q27" s="181">
        <f t="shared" si="1"/>
        <v>20.02733610673118</v>
      </c>
    </row>
    <row r="28" spans="1:17" ht="13.5">
      <c r="A28" s="179">
        <v>22</v>
      </c>
      <c r="B28" s="203" t="s">
        <v>294</v>
      </c>
      <c r="C28" s="204">
        <v>0</v>
      </c>
      <c r="D28" s="204">
        <v>0</v>
      </c>
      <c r="E28" s="204">
        <v>0</v>
      </c>
      <c r="F28" s="204">
        <v>0</v>
      </c>
      <c r="G28" s="194">
        <v>0</v>
      </c>
      <c r="H28" s="204">
        <v>92</v>
      </c>
      <c r="I28" s="204">
        <v>288.92</v>
      </c>
      <c r="J28" s="204">
        <v>0</v>
      </c>
      <c r="K28" s="204">
        <v>0</v>
      </c>
      <c r="L28" s="194">
        <f t="shared" si="0"/>
        <v>0</v>
      </c>
      <c r="M28" s="204">
        <v>326</v>
      </c>
      <c r="N28" s="204">
        <v>1487.1</v>
      </c>
      <c r="O28" s="204">
        <v>0</v>
      </c>
      <c r="P28" s="204">
        <v>0</v>
      </c>
      <c r="Q28" s="194">
        <f t="shared" si="1"/>
        <v>0</v>
      </c>
    </row>
    <row r="29" spans="1:17" ht="13.5">
      <c r="A29" s="179">
        <v>23</v>
      </c>
      <c r="B29" s="203" t="s">
        <v>295</v>
      </c>
      <c r="C29" s="204">
        <v>0</v>
      </c>
      <c r="D29" s="204">
        <v>0</v>
      </c>
      <c r="E29" s="204">
        <v>0</v>
      </c>
      <c r="F29" s="204">
        <v>0</v>
      </c>
      <c r="G29" s="194">
        <v>0</v>
      </c>
      <c r="H29" s="204">
        <v>47</v>
      </c>
      <c r="I29" s="204">
        <v>159.85</v>
      </c>
      <c r="J29" s="204">
        <v>0</v>
      </c>
      <c r="K29" s="204">
        <v>0</v>
      </c>
      <c r="L29" s="194">
        <f t="shared" si="0"/>
        <v>0</v>
      </c>
      <c r="M29" s="204">
        <v>176</v>
      </c>
      <c r="N29" s="204">
        <v>816.81</v>
      </c>
      <c r="O29" s="204">
        <v>1</v>
      </c>
      <c r="P29" s="204">
        <v>15</v>
      </c>
      <c r="Q29" s="194">
        <f t="shared" si="1"/>
        <v>1.836412384765123</v>
      </c>
    </row>
    <row r="30" spans="1:17" ht="13.5">
      <c r="A30" s="179">
        <v>24</v>
      </c>
      <c r="B30" s="203" t="s">
        <v>296</v>
      </c>
      <c r="C30" s="204">
        <v>0</v>
      </c>
      <c r="D30" s="204">
        <v>0</v>
      </c>
      <c r="E30" s="204">
        <v>0</v>
      </c>
      <c r="F30" s="204">
        <v>0</v>
      </c>
      <c r="G30" s="194">
        <v>0</v>
      </c>
      <c r="H30" s="204">
        <v>80</v>
      </c>
      <c r="I30" s="204">
        <v>274.68</v>
      </c>
      <c r="J30" s="204">
        <v>0</v>
      </c>
      <c r="K30" s="204">
        <v>0</v>
      </c>
      <c r="L30" s="194">
        <f t="shared" si="0"/>
        <v>0</v>
      </c>
      <c r="M30" s="204">
        <v>438</v>
      </c>
      <c r="N30" s="204">
        <v>1921.12</v>
      </c>
      <c r="O30" s="204">
        <v>8</v>
      </c>
      <c r="P30" s="204">
        <v>60.65</v>
      </c>
      <c r="Q30" s="194">
        <f t="shared" si="1"/>
        <v>3.157012575997335</v>
      </c>
    </row>
    <row r="31" spans="1:17" ht="13.5">
      <c r="A31" s="179">
        <v>25</v>
      </c>
      <c r="B31" s="205" t="s">
        <v>297</v>
      </c>
      <c r="C31" s="204">
        <v>0</v>
      </c>
      <c r="D31" s="204">
        <v>0</v>
      </c>
      <c r="E31" s="204">
        <v>0</v>
      </c>
      <c r="F31" s="204">
        <v>0</v>
      </c>
      <c r="G31" s="194">
        <v>0</v>
      </c>
      <c r="H31" s="204">
        <v>74</v>
      </c>
      <c r="I31" s="204">
        <v>272.68</v>
      </c>
      <c r="J31" s="204">
        <v>0</v>
      </c>
      <c r="K31" s="204">
        <v>0</v>
      </c>
      <c r="L31" s="194">
        <f t="shared" si="0"/>
        <v>0</v>
      </c>
      <c r="M31" s="204">
        <v>266</v>
      </c>
      <c r="N31" s="204">
        <v>1212.54</v>
      </c>
      <c r="O31" s="204">
        <v>0</v>
      </c>
      <c r="P31" s="204">
        <v>0</v>
      </c>
      <c r="Q31" s="194">
        <f t="shared" si="1"/>
        <v>0</v>
      </c>
    </row>
    <row r="32" spans="1:17" ht="13.5">
      <c r="A32" s="179">
        <v>26</v>
      </c>
      <c r="B32" s="203" t="s">
        <v>298</v>
      </c>
      <c r="C32" s="204">
        <v>0</v>
      </c>
      <c r="D32" s="204">
        <v>0</v>
      </c>
      <c r="E32" s="204">
        <v>0</v>
      </c>
      <c r="F32" s="204">
        <v>0</v>
      </c>
      <c r="G32" s="194">
        <v>0</v>
      </c>
      <c r="H32" s="204">
        <v>152</v>
      </c>
      <c r="I32" s="204">
        <v>506.4</v>
      </c>
      <c r="J32" s="204">
        <v>0</v>
      </c>
      <c r="K32" s="204">
        <v>0</v>
      </c>
      <c r="L32" s="194">
        <f t="shared" si="0"/>
        <v>0</v>
      </c>
      <c r="M32" s="204">
        <v>600</v>
      </c>
      <c r="N32" s="204">
        <v>2359.38</v>
      </c>
      <c r="O32" s="204">
        <v>0</v>
      </c>
      <c r="P32" s="204">
        <v>0</v>
      </c>
      <c r="Q32" s="194">
        <f t="shared" si="1"/>
        <v>0</v>
      </c>
    </row>
    <row r="33" spans="1:17" ht="13.5">
      <c r="A33" s="179">
        <v>27</v>
      </c>
      <c r="B33" s="203" t="s">
        <v>72</v>
      </c>
      <c r="C33" s="204">
        <v>232</v>
      </c>
      <c r="D33" s="204">
        <f>8555.51+216+3</f>
        <v>8774.51</v>
      </c>
      <c r="E33" s="204">
        <v>0</v>
      </c>
      <c r="F33" s="204">
        <v>0</v>
      </c>
      <c r="G33" s="194">
        <f>F33*100/D33</f>
        <v>0</v>
      </c>
      <c r="H33" s="204">
        <v>12792</v>
      </c>
      <c r="I33" s="204">
        <v>45434.55</v>
      </c>
      <c r="J33" s="204">
        <v>462</v>
      </c>
      <c r="K33" s="204">
        <v>1590</v>
      </c>
      <c r="L33" s="194">
        <f t="shared" si="0"/>
        <v>3.4995394474029125</v>
      </c>
      <c r="M33" s="204">
        <v>48668</v>
      </c>
      <c r="N33" s="204">
        <v>194980.68</v>
      </c>
      <c r="O33" s="204">
        <v>4137</v>
      </c>
      <c r="P33" s="204">
        <v>22299</v>
      </c>
      <c r="Q33" s="194">
        <f t="shared" si="1"/>
        <v>11.436517710370074</v>
      </c>
    </row>
    <row r="34" spans="1:17" s="195" customFormat="1" ht="13.5">
      <c r="A34" s="182"/>
      <c r="B34" s="206" t="s">
        <v>299</v>
      </c>
      <c r="C34" s="207">
        <f>SUM(C28:C33)</f>
        <v>232</v>
      </c>
      <c r="D34" s="207">
        <f aca="true" t="shared" si="3" ref="D34:P34">SUM(D28:D33)</f>
        <v>8774.51</v>
      </c>
      <c r="E34" s="207">
        <f t="shared" si="3"/>
        <v>0</v>
      </c>
      <c r="F34" s="207">
        <f t="shared" si="3"/>
        <v>0</v>
      </c>
      <c r="G34" s="181">
        <f>F34*100/D34</f>
        <v>0</v>
      </c>
      <c r="H34" s="207">
        <f t="shared" si="3"/>
        <v>13237</v>
      </c>
      <c r="I34" s="207">
        <f t="shared" si="3"/>
        <v>46937.08</v>
      </c>
      <c r="J34" s="207">
        <f t="shared" si="3"/>
        <v>462</v>
      </c>
      <c r="K34" s="207">
        <f t="shared" si="3"/>
        <v>1590</v>
      </c>
      <c r="L34" s="181">
        <f t="shared" si="0"/>
        <v>3.3875136672328146</v>
      </c>
      <c r="M34" s="207">
        <f t="shared" si="3"/>
        <v>50474</v>
      </c>
      <c r="N34" s="207">
        <f t="shared" si="3"/>
        <v>202777.63</v>
      </c>
      <c r="O34" s="207">
        <f t="shared" si="3"/>
        <v>4146</v>
      </c>
      <c r="P34" s="207">
        <f t="shared" si="3"/>
        <v>22374.65</v>
      </c>
      <c r="Q34" s="181">
        <f t="shared" si="1"/>
        <v>11.034082013878947</v>
      </c>
    </row>
    <row r="35" spans="1:17" ht="13.5">
      <c r="A35" s="179">
        <v>28</v>
      </c>
      <c r="B35" s="203" t="s">
        <v>49</v>
      </c>
      <c r="C35" s="204">
        <v>85</v>
      </c>
      <c r="D35" s="204">
        <v>1149.32</v>
      </c>
      <c r="E35" s="204">
        <v>0</v>
      </c>
      <c r="F35" s="204">
        <v>0</v>
      </c>
      <c r="G35" s="194">
        <f>F35*100/D35</f>
        <v>0</v>
      </c>
      <c r="H35" s="204">
        <v>538</v>
      </c>
      <c r="I35" s="204">
        <v>1893.02</v>
      </c>
      <c r="J35" s="204">
        <v>69</v>
      </c>
      <c r="K35" s="204">
        <v>180.47</v>
      </c>
      <c r="L35" s="194">
        <f t="shared" si="0"/>
        <v>9.533443915014104</v>
      </c>
      <c r="M35" s="204">
        <v>2191</v>
      </c>
      <c r="N35" s="204">
        <v>9982.64</v>
      </c>
      <c r="O35" s="204">
        <v>603</v>
      </c>
      <c r="P35" s="204">
        <v>3785.7</v>
      </c>
      <c r="Q35" s="194">
        <f t="shared" si="1"/>
        <v>37.92283403989326</v>
      </c>
    </row>
    <row r="36" spans="1:17" ht="13.5">
      <c r="A36" s="179">
        <v>29</v>
      </c>
      <c r="B36" s="180" t="s">
        <v>53</v>
      </c>
      <c r="C36" s="204">
        <v>0</v>
      </c>
      <c r="D36" s="204">
        <v>0</v>
      </c>
      <c r="E36" s="204">
        <v>0</v>
      </c>
      <c r="F36" s="204">
        <v>0</v>
      </c>
      <c r="G36" s="194">
        <v>0</v>
      </c>
      <c r="H36" s="204">
        <v>4</v>
      </c>
      <c r="I36" s="204">
        <v>8</v>
      </c>
      <c r="J36" s="204">
        <v>1</v>
      </c>
      <c r="K36" s="204">
        <v>0.22</v>
      </c>
      <c r="L36" s="194">
        <f t="shared" si="0"/>
        <v>2.75</v>
      </c>
      <c r="M36" s="204">
        <v>16</v>
      </c>
      <c r="N36" s="204">
        <v>75.06</v>
      </c>
      <c r="O36" s="204">
        <v>0</v>
      </c>
      <c r="P36" s="204">
        <v>0</v>
      </c>
      <c r="Q36" s="194">
        <f t="shared" si="1"/>
        <v>0</v>
      </c>
    </row>
    <row r="37" spans="1:17" ht="13.5">
      <c r="A37" s="179">
        <v>30</v>
      </c>
      <c r="B37" s="180" t="s">
        <v>300</v>
      </c>
      <c r="C37" s="204">
        <v>0</v>
      </c>
      <c r="D37" s="204">
        <v>0</v>
      </c>
      <c r="E37" s="204">
        <v>0</v>
      </c>
      <c r="F37" s="204">
        <v>0</v>
      </c>
      <c r="G37" s="194">
        <v>0</v>
      </c>
      <c r="H37" s="204">
        <v>8</v>
      </c>
      <c r="I37" s="204">
        <v>40</v>
      </c>
      <c r="J37" s="204">
        <v>0</v>
      </c>
      <c r="K37" s="204">
        <v>0</v>
      </c>
      <c r="L37" s="194">
        <f t="shared" si="0"/>
        <v>0</v>
      </c>
      <c r="M37" s="204">
        <v>10</v>
      </c>
      <c r="N37" s="204">
        <v>39.88</v>
      </c>
      <c r="O37" s="204">
        <v>0</v>
      </c>
      <c r="P37" s="204">
        <v>0</v>
      </c>
      <c r="Q37" s="194">
        <f t="shared" si="1"/>
        <v>0</v>
      </c>
    </row>
    <row r="38" spans="1:17" ht="13.5">
      <c r="A38" s="179">
        <v>31</v>
      </c>
      <c r="B38" s="203" t="s">
        <v>301</v>
      </c>
      <c r="C38" s="204">
        <v>0</v>
      </c>
      <c r="D38" s="204">
        <v>0</v>
      </c>
      <c r="E38" s="204">
        <v>0</v>
      </c>
      <c r="F38" s="204">
        <v>0</v>
      </c>
      <c r="G38" s="194">
        <v>0</v>
      </c>
      <c r="H38" s="204">
        <v>36</v>
      </c>
      <c r="I38" s="204">
        <v>135</v>
      </c>
      <c r="J38" s="204">
        <v>0</v>
      </c>
      <c r="K38" s="204">
        <v>0</v>
      </c>
      <c r="L38" s="194">
        <f t="shared" si="0"/>
        <v>0</v>
      </c>
      <c r="M38" s="204">
        <v>128</v>
      </c>
      <c r="N38" s="204">
        <v>568.32</v>
      </c>
      <c r="O38" s="204">
        <v>0</v>
      </c>
      <c r="P38" s="204">
        <v>0</v>
      </c>
      <c r="Q38" s="194">
        <f t="shared" si="1"/>
        <v>0</v>
      </c>
    </row>
    <row r="39" spans="1:17" ht="13.5">
      <c r="A39" s="179">
        <v>32</v>
      </c>
      <c r="B39" s="203" t="s">
        <v>302</v>
      </c>
      <c r="C39" s="204">
        <v>0</v>
      </c>
      <c r="D39" s="204">
        <v>0</v>
      </c>
      <c r="E39" s="204">
        <v>0</v>
      </c>
      <c r="F39" s="204">
        <v>0</v>
      </c>
      <c r="G39" s="194">
        <v>0</v>
      </c>
      <c r="H39" s="204">
        <v>74</v>
      </c>
      <c r="I39" s="204">
        <v>254.65</v>
      </c>
      <c r="J39" s="204">
        <v>1</v>
      </c>
      <c r="K39" s="204">
        <v>2.62</v>
      </c>
      <c r="L39" s="194">
        <f t="shared" si="0"/>
        <v>1.028863145493815</v>
      </c>
      <c r="M39" s="204">
        <v>268</v>
      </c>
      <c r="N39" s="204">
        <v>1213.86</v>
      </c>
      <c r="O39" s="204">
        <v>5</v>
      </c>
      <c r="P39" s="204">
        <v>37.74</v>
      </c>
      <c r="Q39" s="194">
        <f t="shared" si="1"/>
        <v>3.10909001038011</v>
      </c>
    </row>
    <row r="40" spans="1:17" ht="13.5">
      <c r="A40" s="179">
        <v>33</v>
      </c>
      <c r="B40" s="203" t="s">
        <v>303</v>
      </c>
      <c r="C40" s="204">
        <v>87</v>
      </c>
      <c r="D40" s="204">
        <v>3019.32</v>
      </c>
      <c r="E40" s="204">
        <v>0</v>
      </c>
      <c r="F40" s="204">
        <v>0</v>
      </c>
      <c r="G40" s="194">
        <f>F40*100/D40</f>
        <v>0</v>
      </c>
      <c r="H40" s="204">
        <v>1028</v>
      </c>
      <c r="I40" s="204">
        <v>3675.14</v>
      </c>
      <c r="J40" s="204">
        <v>75</v>
      </c>
      <c r="K40" s="204">
        <v>113.74</v>
      </c>
      <c r="L40" s="194">
        <f t="shared" si="0"/>
        <v>3.094848087419799</v>
      </c>
      <c r="M40" s="204">
        <v>4210</v>
      </c>
      <c r="N40" s="204">
        <v>18173.48</v>
      </c>
      <c r="O40" s="204">
        <v>341</v>
      </c>
      <c r="P40" s="204">
        <v>1589.26</v>
      </c>
      <c r="Q40" s="194">
        <f t="shared" si="1"/>
        <v>8.744940429681051</v>
      </c>
    </row>
    <row r="41" spans="1:17" ht="13.5">
      <c r="A41" s="179">
        <v>34</v>
      </c>
      <c r="B41" s="203" t="s">
        <v>304</v>
      </c>
      <c r="C41" s="204">
        <v>44</v>
      </c>
      <c r="D41" s="204">
        <v>2956.4</v>
      </c>
      <c r="E41" s="204">
        <v>0</v>
      </c>
      <c r="F41" s="204">
        <v>0</v>
      </c>
      <c r="G41" s="194">
        <f>F41*100/D41</f>
        <v>0</v>
      </c>
      <c r="H41" s="204">
        <v>1050</v>
      </c>
      <c r="I41" s="204">
        <v>3652.32</v>
      </c>
      <c r="J41" s="204">
        <v>0</v>
      </c>
      <c r="K41" s="204">
        <v>0</v>
      </c>
      <c r="L41" s="194">
        <f t="shared" si="0"/>
        <v>0</v>
      </c>
      <c r="M41" s="204">
        <v>4348</v>
      </c>
      <c r="N41" s="204">
        <v>20225.74</v>
      </c>
      <c r="O41" s="204">
        <v>18</v>
      </c>
      <c r="P41" s="204">
        <v>314.63751</v>
      </c>
      <c r="Q41" s="194">
        <f t="shared" si="1"/>
        <v>1.555629163630107</v>
      </c>
    </row>
    <row r="42" spans="1:17" ht="13.5">
      <c r="A42" s="179">
        <v>35</v>
      </c>
      <c r="B42" s="203" t="s">
        <v>305</v>
      </c>
      <c r="C42" s="204">
        <v>0</v>
      </c>
      <c r="D42" s="204">
        <v>0</v>
      </c>
      <c r="E42" s="204">
        <v>0</v>
      </c>
      <c r="F42" s="204">
        <v>0</v>
      </c>
      <c r="G42" s="194">
        <v>0</v>
      </c>
      <c r="H42" s="204">
        <v>178</v>
      </c>
      <c r="I42" s="204">
        <v>649.85</v>
      </c>
      <c r="J42" s="204">
        <v>0</v>
      </c>
      <c r="K42" s="204">
        <v>0</v>
      </c>
      <c r="L42" s="194">
        <f t="shared" si="0"/>
        <v>0</v>
      </c>
      <c r="M42" s="204">
        <v>559</v>
      </c>
      <c r="N42" s="204">
        <v>2474.91</v>
      </c>
      <c r="O42" s="204">
        <v>0</v>
      </c>
      <c r="P42" s="204">
        <v>0</v>
      </c>
      <c r="Q42" s="194">
        <f t="shared" si="1"/>
        <v>0</v>
      </c>
    </row>
    <row r="43" spans="1:17" ht="13.5">
      <c r="A43" s="179">
        <v>36</v>
      </c>
      <c r="B43" s="203" t="s">
        <v>255</v>
      </c>
      <c r="C43" s="204">
        <v>0</v>
      </c>
      <c r="D43" s="204">
        <v>0</v>
      </c>
      <c r="E43" s="204">
        <v>0</v>
      </c>
      <c r="F43" s="204">
        <v>0</v>
      </c>
      <c r="G43" s="194">
        <v>0</v>
      </c>
      <c r="H43" s="204">
        <v>4</v>
      </c>
      <c r="I43" s="204">
        <v>10</v>
      </c>
      <c r="J43" s="204">
        <v>0</v>
      </c>
      <c r="K43" s="204">
        <v>0</v>
      </c>
      <c r="L43" s="194">
        <f t="shared" si="0"/>
        <v>0</v>
      </c>
      <c r="M43" s="204">
        <v>28</v>
      </c>
      <c r="N43" s="204">
        <v>61.74</v>
      </c>
      <c r="O43" s="204">
        <v>0</v>
      </c>
      <c r="P43" s="204">
        <v>0</v>
      </c>
      <c r="Q43" s="194">
        <f t="shared" si="1"/>
        <v>0</v>
      </c>
    </row>
    <row r="44" spans="1:17" ht="13.5">
      <c r="A44" s="179">
        <v>37</v>
      </c>
      <c r="B44" s="203" t="s">
        <v>306</v>
      </c>
      <c r="C44" s="204">
        <v>0</v>
      </c>
      <c r="D44" s="204">
        <v>0</v>
      </c>
      <c r="E44" s="204">
        <v>0</v>
      </c>
      <c r="F44" s="204">
        <v>0</v>
      </c>
      <c r="G44" s="194">
        <v>0</v>
      </c>
      <c r="H44" s="204">
        <v>62</v>
      </c>
      <c r="I44" s="204">
        <v>223.64</v>
      </c>
      <c r="J44" s="204">
        <v>0</v>
      </c>
      <c r="K44" s="204">
        <v>0</v>
      </c>
      <c r="L44" s="194">
        <f t="shared" si="0"/>
        <v>0</v>
      </c>
      <c r="M44" s="204">
        <v>244</v>
      </c>
      <c r="N44" s="204">
        <v>1128.44</v>
      </c>
      <c r="O44" s="204">
        <v>38</v>
      </c>
      <c r="P44" s="204">
        <v>248</v>
      </c>
      <c r="Q44" s="194">
        <f t="shared" si="1"/>
        <v>21.97724291942859</v>
      </c>
    </row>
    <row r="45" spans="1:17" ht="13.5">
      <c r="A45" s="179">
        <v>38</v>
      </c>
      <c r="B45" s="203" t="s">
        <v>307</v>
      </c>
      <c r="C45" s="204">
        <v>0</v>
      </c>
      <c r="D45" s="204">
        <v>0</v>
      </c>
      <c r="E45" s="204">
        <v>0</v>
      </c>
      <c r="F45" s="204">
        <v>0</v>
      </c>
      <c r="G45" s="194">
        <v>0</v>
      </c>
      <c r="H45" s="204">
        <v>64</v>
      </c>
      <c r="I45" s="204">
        <v>237.9</v>
      </c>
      <c r="J45" s="204">
        <v>2</v>
      </c>
      <c r="K45" s="204">
        <v>2</v>
      </c>
      <c r="L45" s="194">
        <f t="shared" si="0"/>
        <v>0.8406893652795292</v>
      </c>
      <c r="M45" s="204">
        <v>266</v>
      </c>
      <c r="N45" s="204">
        <v>1101.48</v>
      </c>
      <c r="O45" s="204">
        <v>4</v>
      </c>
      <c r="P45" s="204">
        <v>81</v>
      </c>
      <c r="Q45" s="194">
        <f t="shared" si="1"/>
        <v>7.353742237716527</v>
      </c>
    </row>
    <row r="46" spans="1:17" ht="13.5">
      <c r="A46" s="179">
        <v>39</v>
      </c>
      <c r="B46" s="203" t="s">
        <v>95</v>
      </c>
      <c r="C46" s="204">
        <v>0</v>
      </c>
      <c r="D46" s="204">
        <v>0</v>
      </c>
      <c r="E46" s="204">
        <v>0</v>
      </c>
      <c r="F46" s="204">
        <v>0</v>
      </c>
      <c r="G46" s="194">
        <v>0</v>
      </c>
      <c r="H46" s="204">
        <v>12</v>
      </c>
      <c r="I46" s="204">
        <v>32.58</v>
      </c>
      <c r="J46" s="204">
        <v>0</v>
      </c>
      <c r="K46" s="204">
        <v>0</v>
      </c>
      <c r="L46" s="194">
        <f t="shared" si="0"/>
        <v>0</v>
      </c>
      <c r="M46" s="204">
        <v>66</v>
      </c>
      <c r="N46" s="204">
        <v>322.78</v>
      </c>
      <c r="O46" s="204">
        <v>2</v>
      </c>
      <c r="P46" s="131">
        <v>1.92</v>
      </c>
      <c r="Q46" s="194">
        <f t="shared" si="1"/>
        <v>0.5948323935807671</v>
      </c>
    </row>
    <row r="47" spans="1:17" ht="13.5">
      <c r="A47" s="179">
        <v>40</v>
      </c>
      <c r="B47" s="203" t="s">
        <v>308</v>
      </c>
      <c r="C47" s="204">
        <v>0</v>
      </c>
      <c r="D47" s="204">
        <v>0</v>
      </c>
      <c r="E47" s="204">
        <v>0</v>
      </c>
      <c r="F47" s="204">
        <v>0</v>
      </c>
      <c r="G47" s="194">
        <v>0</v>
      </c>
      <c r="H47" s="204">
        <v>86</v>
      </c>
      <c r="I47" s="204">
        <v>310.84</v>
      </c>
      <c r="J47" s="204">
        <v>0</v>
      </c>
      <c r="K47" s="204">
        <v>0</v>
      </c>
      <c r="L47" s="194">
        <f t="shared" si="0"/>
        <v>0</v>
      </c>
      <c r="M47" s="204">
        <v>308</v>
      </c>
      <c r="N47" s="204">
        <v>1476.34</v>
      </c>
      <c r="O47" s="204">
        <v>0</v>
      </c>
      <c r="P47" s="204">
        <v>0</v>
      </c>
      <c r="Q47" s="194">
        <f t="shared" si="1"/>
        <v>0</v>
      </c>
    </row>
    <row r="48" spans="1:17" ht="13.5">
      <c r="A48" s="179">
        <v>41</v>
      </c>
      <c r="B48" s="203" t="s">
        <v>309</v>
      </c>
      <c r="C48" s="204">
        <v>0</v>
      </c>
      <c r="D48" s="204">
        <v>0</v>
      </c>
      <c r="E48" s="204">
        <v>0</v>
      </c>
      <c r="F48" s="204">
        <v>0</v>
      </c>
      <c r="G48" s="194">
        <v>0</v>
      </c>
      <c r="H48" s="204">
        <v>4</v>
      </c>
      <c r="I48" s="204">
        <v>10.86</v>
      </c>
      <c r="J48" s="204">
        <v>0</v>
      </c>
      <c r="K48" s="204">
        <v>0</v>
      </c>
      <c r="L48" s="194">
        <f t="shared" si="0"/>
        <v>0</v>
      </c>
      <c r="M48" s="204">
        <v>22</v>
      </c>
      <c r="N48" s="204">
        <v>107.65</v>
      </c>
      <c r="O48" s="204">
        <v>5</v>
      </c>
      <c r="P48" s="204">
        <v>29</v>
      </c>
      <c r="Q48" s="194">
        <f t="shared" si="1"/>
        <v>26.939154667905246</v>
      </c>
    </row>
    <row r="49" spans="1:17" ht="13.5">
      <c r="A49" s="179">
        <v>42</v>
      </c>
      <c r="B49" s="208" t="s">
        <v>310</v>
      </c>
      <c r="C49" s="204">
        <v>0</v>
      </c>
      <c r="D49" s="204">
        <v>0</v>
      </c>
      <c r="E49" s="204">
        <v>0</v>
      </c>
      <c r="F49" s="204">
        <v>0</v>
      </c>
      <c r="G49" s="194">
        <v>0</v>
      </c>
      <c r="H49" s="204">
        <v>44</v>
      </c>
      <c r="I49" s="204">
        <v>149.06</v>
      </c>
      <c r="J49" s="204">
        <v>0</v>
      </c>
      <c r="K49" s="204">
        <v>0</v>
      </c>
      <c r="L49" s="194">
        <f t="shared" si="0"/>
        <v>0</v>
      </c>
      <c r="M49" s="204">
        <v>154</v>
      </c>
      <c r="N49" s="204">
        <v>706.24</v>
      </c>
      <c r="O49" s="204">
        <v>0</v>
      </c>
      <c r="P49" s="204">
        <v>0</v>
      </c>
      <c r="Q49" s="194">
        <f t="shared" si="1"/>
        <v>0</v>
      </c>
    </row>
    <row r="50" spans="1:17" ht="13.5">
      <c r="A50" s="179">
        <v>43</v>
      </c>
      <c r="B50" s="203" t="s">
        <v>311</v>
      </c>
      <c r="C50" s="204">
        <v>0</v>
      </c>
      <c r="D50" s="204">
        <v>0</v>
      </c>
      <c r="E50" s="204">
        <v>0</v>
      </c>
      <c r="F50" s="204">
        <v>0</v>
      </c>
      <c r="G50" s="194">
        <v>0</v>
      </c>
      <c r="H50" s="204">
        <v>14</v>
      </c>
      <c r="I50" s="204">
        <v>68.88</v>
      </c>
      <c r="J50" s="204">
        <v>155</v>
      </c>
      <c r="K50" s="204">
        <v>31.46</v>
      </c>
      <c r="L50" s="194">
        <f t="shared" si="0"/>
        <v>45.67363530778165</v>
      </c>
      <c r="M50" s="204">
        <v>20</v>
      </c>
      <c r="N50" s="204">
        <v>81.12</v>
      </c>
      <c r="O50" s="204">
        <v>76</v>
      </c>
      <c r="P50" s="204">
        <v>29.76</v>
      </c>
      <c r="Q50" s="194">
        <f t="shared" si="1"/>
        <v>36.68639053254438</v>
      </c>
    </row>
    <row r="51" spans="1:17" ht="13.5">
      <c r="A51" s="179">
        <v>44</v>
      </c>
      <c r="B51" s="203" t="s">
        <v>78</v>
      </c>
      <c r="C51" s="204">
        <v>0</v>
      </c>
      <c r="D51" s="204">
        <v>0</v>
      </c>
      <c r="E51" s="204"/>
      <c r="F51" s="204"/>
      <c r="G51" s="194">
        <v>0</v>
      </c>
      <c r="H51" s="204">
        <v>98</v>
      </c>
      <c r="I51" s="204">
        <v>390.98</v>
      </c>
      <c r="J51" s="204"/>
      <c r="K51" s="204"/>
      <c r="L51" s="194">
        <f t="shared" si="0"/>
        <v>0</v>
      </c>
      <c r="M51" s="204">
        <v>328</v>
      </c>
      <c r="N51" s="204">
        <v>1391.74</v>
      </c>
      <c r="O51" s="204"/>
      <c r="P51" s="204"/>
      <c r="Q51" s="194">
        <f t="shared" si="1"/>
        <v>0</v>
      </c>
    </row>
    <row r="52" spans="1:17" s="195" customFormat="1" ht="13.5">
      <c r="A52" s="183"/>
      <c r="B52" s="206" t="s">
        <v>274</v>
      </c>
      <c r="C52" s="207">
        <f>SUM(C35:C51)</f>
        <v>216</v>
      </c>
      <c r="D52" s="207">
        <f aca="true" t="shared" si="4" ref="D52:P52">SUM(D35:D51)</f>
        <v>7125.040000000001</v>
      </c>
      <c r="E52" s="207">
        <f t="shared" si="4"/>
        <v>0</v>
      </c>
      <c r="F52" s="207">
        <f t="shared" si="4"/>
        <v>0</v>
      </c>
      <c r="G52" s="181">
        <f>F52*100/D52</f>
        <v>0</v>
      </c>
      <c r="H52" s="207">
        <f t="shared" si="4"/>
        <v>3304</v>
      </c>
      <c r="I52" s="207">
        <f t="shared" si="4"/>
        <v>11742.719999999998</v>
      </c>
      <c r="J52" s="207">
        <f t="shared" si="4"/>
        <v>303</v>
      </c>
      <c r="K52" s="207">
        <f t="shared" si="4"/>
        <v>330.51</v>
      </c>
      <c r="L52" s="181">
        <f t="shared" si="0"/>
        <v>2.8145949149771097</v>
      </c>
      <c r="M52" s="207">
        <f t="shared" si="4"/>
        <v>13166</v>
      </c>
      <c r="N52" s="207">
        <f t="shared" si="4"/>
        <v>59131.42</v>
      </c>
      <c r="O52" s="207">
        <f t="shared" si="4"/>
        <v>1092</v>
      </c>
      <c r="P52" s="207">
        <f t="shared" si="4"/>
        <v>6117.01751</v>
      </c>
      <c r="Q52" s="181">
        <f t="shared" si="1"/>
        <v>10.344783720735947</v>
      </c>
    </row>
    <row r="53" spans="1:17" ht="13.5">
      <c r="A53" s="179">
        <v>45</v>
      </c>
      <c r="B53" s="203" t="s">
        <v>48</v>
      </c>
      <c r="C53" s="204">
        <v>0</v>
      </c>
      <c r="D53" s="204">
        <v>0</v>
      </c>
      <c r="E53" s="204">
        <v>0</v>
      </c>
      <c r="F53" s="204">
        <v>0</v>
      </c>
      <c r="G53" s="194">
        <v>0</v>
      </c>
      <c r="H53" s="204">
        <f>804+137</f>
        <v>941</v>
      </c>
      <c r="I53" s="204">
        <f>3901-595</f>
        <v>3306</v>
      </c>
      <c r="J53" s="204">
        <v>13</v>
      </c>
      <c r="K53" s="204">
        <v>80</v>
      </c>
      <c r="L53" s="194">
        <f t="shared" si="0"/>
        <v>2.4198427102238353</v>
      </c>
      <c r="M53" s="204">
        <v>5892</v>
      </c>
      <c r="N53" s="204">
        <v>11673</v>
      </c>
      <c r="O53" s="204">
        <v>1007</v>
      </c>
      <c r="P53" s="204">
        <v>4438</v>
      </c>
      <c r="Q53" s="194">
        <f t="shared" si="1"/>
        <v>38.01936091835861</v>
      </c>
    </row>
    <row r="54" spans="1:17" ht="13.5">
      <c r="A54" s="179">
        <v>46</v>
      </c>
      <c r="B54" s="203" t="s">
        <v>269</v>
      </c>
      <c r="C54" s="204">
        <v>0</v>
      </c>
      <c r="D54" s="204">
        <v>0</v>
      </c>
      <c r="E54" s="204">
        <v>0</v>
      </c>
      <c r="F54" s="204">
        <v>0</v>
      </c>
      <c r="G54" s="194">
        <v>0</v>
      </c>
      <c r="H54" s="204">
        <v>904</v>
      </c>
      <c r="I54" s="204">
        <v>3171</v>
      </c>
      <c r="J54" s="204">
        <v>43</v>
      </c>
      <c r="K54" s="204">
        <v>25</v>
      </c>
      <c r="L54" s="194">
        <f t="shared" si="0"/>
        <v>0.7883948281299274</v>
      </c>
      <c r="M54" s="204">
        <f>5857-213</f>
        <v>5644</v>
      </c>
      <c r="N54" s="204">
        <v>10419</v>
      </c>
      <c r="O54" s="204">
        <v>23537</v>
      </c>
      <c r="P54" s="204">
        <v>10623</v>
      </c>
      <c r="Q54" s="194">
        <f t="shared" si="1"/>
        <v>101.95796141664268</v>
      </c>
    </row>
    <row r="55" spans="1:17" ht="13.5">
      <c r="A55" s="179">
        <v>47</v>
      </c>
      <c r="B55" s="203" t="s">
        <v>54</v>
      </c>
      <c r="C55" s="204">
        <v>0</v>
      </c>
      <c r="D55" s="204">
        <v>0</v>
      </c>
      <c r="E55" s="204">
        <v>0</v>
      </c>
      <c r="F55" s="204">
        <v>0</v>
      </c>
      <c r="G55" s="194">
        <v>0</v>
      </c>
      <c r="H55" s="204">
        <v>523.2586917293088</v>
      </c>
      <c r="I55" s="204">
        <f>2237.2</f>
        <v>2237.2</v>
      </c>
      <c r="J55" s="204">
        <v>19</v>
      </c>
      <c r="K55" s="204">
        <v>46.09</v>
      </c>
      <c r="L55" s="194">
        <f t="shared" si="0"/>
        <v>2.0601644913284463</v>
      </c>
      <c r="M55" s="204">
        <v>2762</v>
      </c>
      <c r="N55" s="204">
        <v>8851</v>
      </c>
      <c r="O55" s="204">
        <v>942</v>
      </c>
      <c r="P55" s="204">
        <v>1012.04</v>
      </c>
      <c r="Q55" s="194">
        <f t="shared" si="1"/>
        <v>11.434188227318947</v>
      </c>
    </row>
    <row r="56" spans="1:17" s="195" customFormat="1" ht="13.5">
      <c r="A56" s="183"/>
      <c r="B56" s="206" t="s">
        <v>270</v>
      </c>
      <c r="C56" s="207">
        <f>SUM(C53:C55)</f>
        <v>0</v>
      </c>
      <c r="D56" s="207">
        <f aca="true" t="shared" si="5" ref="D56:P56">SUM(D53:D55)</f>
        <v>0</v>
      </c>
      <c r="E56" s="207">
        <f t="shared" si="5"/>
        <v>0</v>
      </c>
      <c r="F56" s="207">
        <f t="shared" si="5"/>
        <v>0</v>
      </c>
      <c r="G56" s="181">
        <v>0</v>
      </c>
      <c r="H56" s="207">
        <f t="shared" si="5"/>
        <v>2368.258691729309</v>
      </c>
      <c r="I56" s="207">
        <f t="shared" si="5"/>
        <v>8714.2</v>
      </c>
      <c r="J56" s="207">
        <f t="shared" si="5"/>
        <v>75</v>
      </c>
      <c r="K56" s="207">
        <f t="shared" si="5"/>
        <v>151.09</v>
      </c>
      <c r="L56" s="181">
        <f t="shared" si="0"/>
        <v>1.733836726262881</v>
      </c>
      <c r="M56" s="207">
        <f t="shared" si="5"/>
        <v>14298</v>
      </c>
      <c r="N56" s="207">
        <f t="shared" si="5"/>
        <v>30943</v>
      </c>
      <c r="O56" s="207">
        <f t="shared" si="5"/>
        <v>25486</v>
      </c>
      <c r="P56" s="207">
        <f t="shared" si="5"/>
        <v>16073.04</v>
      </c>
      <c r="Q56" s="181">
        <f t="shared" si="1"/>
        <v>51.94402611252949</v>
      </c>
    </row>
    <row r="57" spans="1:17" ht="13.5">
      <c r="A57" s="179">
        <v>48</v>
      </c>
      <c r="B57" s="203" t="s">
        <v>312</v>
      </c>
      <c r="C57" s="204">
        <v>0</v>
      </c>
      <c r="D57" s="204">
        <v>0</v>
      </c>
      <c r="E57" s="204">
        <v>0</v>
      </c>
      <c r="F57" s="204">
        <v>0</v>
      </c>
      <c r="G57" s="194">
        <v>0</v>
      </c>
      <c r="H57" s="204">
        <v>1311</v>
      </c>
      <c r="I57" s="204">
        <v>7259.24</v>
      </c>
      <c r="J57" s="204"/>
      <c r="K57" s="204">
        <v>308</v>
      </c>
      <c r="L57" s="194">
        <f t="shared" si="0"/>
        <v>4.242868399446774</v>
      </c>
      <c r="M57" s="204">
        <v>8490</v>
      </c>
      <c r="N57" s="204">
        <v>25151.74</v>
      </c>
      <c r="O57" s="204"/>
      <c r="P57" s="204">
        <v>2803</v>
      </c>
      <c r="Q57" s="194">
        <f t="shared" si="1"/>
        <v>11.144358203448348</v>
      </c>
    </row>
    <row r="58" spans="1:17" s="195" customFormat="1" ht="13.5">
      <c r="A58" s="183"/>
      <c r="B58" s="206" t="s">
        <v>275</v>
      </c>
      <c r="C58" s="207">
        <f>C57</f>
        <v>0</v>
      </c>
      <c r="D58" s="207">
        <f aca="true" t="shared" si="6" ref="D58:P58">D57</f>
        <v>0</v>
      </c>
      <c r="E58" s="207">
        <f t="shared" si="6"/>
        <v>0</v>
      </c>
      <c r="F58" s="207">
        <f t="shared" si="6"/>
        <v>0</v>
      </c>
      <c r="G58" s="181">
        <v>0</v>
      </c>
      <c r="H58" s="207">
        <f t="shared" si="6"/>
        <v>1311</v>
      </c>
      <c r="I58" s="207">
        <f t="shared" si="6"/>
        <v>7259.24</v>
      </c>
      <c r="J58" s="207">
        <f t="shared" si="6"/>
        <v>0</v>
      </c>
      <c r="K58" s="207">
        <f t="shared" si="6"/>
        <v>308</v>
      </c>
      <c r="L58" s="181">
        <f t="shared" si="0"/>
        <v>4.242868399446774</v>
      </c>
      <c r="M58" s="207">
        <f t="shared" si="6"/>
        <v>8490</v>
      </c>
      <c r="N58" s="207">
        <f t="shared" si="6"/>
        <v>25151.74</v>
      </c>
      <c r="O58" s="207">
        <f t="shared" si="6"/>
        <v>0</v>
      </c>
      <c r="P58" s="207">
        <f t="shared" si="6"/>
        <v>2803</v>
      </c>
      <c r="Q58" s="181">
        <f t="shared" si="1"/>
        <v>11.144358203448348</v>
      </c>
    </row>
    <row r="59" spans="1:17" s="195" customFormat="1" ht="13.5">
      <c r="A59" s="183"/>
      <c r="B59" s="206" t="s">
        <v>276</v>
      </c>
      <c r="C59" s="207">
        <f>C58+C56+C52+C34+C27</f>
        <v>1311</v>
      </c>
      <c r="D59" s="207">
        <f aca="true" t="shared" si="7" ref="D59:P59">D58+D56+D52+D34+D27</f>
        <v>42467.72</v>
      </c>
      <c r="E59" s="207">
        <f t="shared" si="7"/>
        <v>7</v>
      </c>
      <c r="F59" s="207">
        <f t="shared" si="7"/>
        <v>622</v>
      </c>
      <c r="G59" s="181">
        <f>F59*100/D59</f>
        <v>1.4646418503277312</v>
      </c>
      <c r="H59" s="207">
        <f t="shared" si="7"/>
        <v>38937.25869172931</v>
      </c>
      <c r="I59" s="207">
        <f t="shared" si="7"/>
        <v>143485.37</v>
      </c>
      <c r="J59" s="207">
        <f t="shared" si="7"/>
        <v>5241</v>
      </c>
      <c r="K59" s="207">
        <f t="shared" si="7"/>
        <v>9345.73</v>
      </c>
      <c r="L59" s="181">
        <f t="shared" si="0"/>
        <v>6.513367878550963</v>
      </c>
      <c r="M59" s="207">
        <f t="shared" si="7"/>
        <v>162521</v>
      </c>
      <c r="N59" s="207">
        <f t="shared" si="7"/>
        <v>594809.8500000001</v>
      </c>
      <c r="O59" s="207">
        <f t="shared" si="7"/>
        <v>88155</v>
      </c>
      <c r="P59" s="207">
        <f t="shared" si="7"/>
        <v>102804.58750999998</v>
      </c>
      <c r="Q59" s="181">
        <f t="shared" si="1"/>
        <v>17.283605426171064</v>
      </c>
    </row>
  </sheetData>
  <sheetProtection/>
  <mergeCells count="16">
    <mergeCell ref="H3:K3"/>
    <mergeCell ref="N2:P2"/>
    <mergeCell ref="H4:I4"/>
    <mergeCell ref="M3:P3"/>
    <mergeCell ref="M4:N4"/>
    <mergeCell ref="L3:L5"/>
    <mergeCell ref="Q3:Q5"/>
    <mergeCell ref="A1:Q1"/>
    <mergeCell ref="A3:A5"/>
    <mergeCell ref="B3:B5"/>
    <mergeCell ref="E4:F4"/>
    <mergeCell ref="J4:K4"/>
    <mergeCell ref="O4:P4"/>
    <mergeCell ref="G3:G5"/>
    <mergeCell ref="C3:F3"/>
    <mergeCell ref="C4:D4"/>
  </mergeCells>
  <conditionalFormatting sqref="B6">
    <cfRule type="duplicateValues" priority="4" dxfId="197">
      <formula>AND(COUNTIF($B$6:$B$6,B6)&gt;1,NOT(ISBLANK(B6)))</formula>
    </cfRule>
  </conditionalFormatting>
  <conditionalFormatting sqref="B22">
    <cfRule type="duplicateValues" priority="5" dxfId="197">
      <formula>AND(COUNTIF($B$22:$B$22,B22)&gt;1,NOT(ISBLANK(B22)))</formula>
    </cfRule>
  </conditionalFormatting>
  <conditionalFormatting sqref="B33:B34 B26:B30">
    <cfRule type="duplicateValues" priority="6" dxfId="197">
      <formula>AND(COUNTIF($B$33:$B$34,B26)+COUNTIF($B$26:$B$30,B26)&gt;1,NOT(ISBLANK(B26)))</formula>
    </cfRule>
  </conditionalFormatting>
  <conditionalFormatting sqref="B52">
    <cfRule type="duplicateValues" priority="7" dxfId="197">
      <formula>AND(COUNTIF($B$52:$B$52,B52)&gt;1,NOT(ISBLANK(B52)))</formula>
    </cfRule>
  </conditionalFormatting>
  <conditionalFormatting sqref="B56">
    <cfRule type="duplicateValues" priority="8" dxfId="197">
      <formula>AND(COUNTIF($B$56:$B$56,B56)&gt;1,NOT(ISBLANK(B56)))</formula>
    </cfRule>
  </conditionalFormatting>
  <conditionalFormatting sqref="B58">
    <cfRule type="duplicateValues" priority="9" dxfId="197">
      <formula>AND(COUNTIF($B$58:$B$58,B58)&gt;1,NOT(ISBLANK(B58)))</formula>
    </cfRule>
  </conditionalFormatting>
  <conditionalFormatting sqref="G1:G65536">
    <cfRule type="cellIs" priority="3" dxfId="198" operator="greaterThan" stopIfTrue="1">
      <formula>100</formula>
    </cfRule>
  </conditionalFormatting>
  <conditionalFormatting sqref="L1:L65536">
    <cfRule type="cellIs" priority="2" dxfId="198" operator="greaterThan" stopIfTrue="1">
      <formula>100</formula>
    </cfRule>
  </conditionalFormatting>
  <conditionalFormatting sqref="Q1:Q65536">
    <cfRule type="cellIs" priority="1" dxfId="198" operator="greaterThan" stopIfTrue="1">
      <formula>100</formula>
    </cfRule>
  </conditionalFormatting>
  <printOptions/>
  <pageMargins left="0.75" right="0.2" top="0.75" bottom="0.75" header="0.3" footer="0.3"/>
  <pageSetup horizontalDpi="600" verticalDpi="600" orientation="portrait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U64"/>
  <sheetViews>
    <sheetView view="pageBreakPreview" zoomScale="60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1" sqref="N21"/>
    </sheetView>
  </sheetViews>
  <sheetFormatPr defaultColWidth="4.421875" defaultRowHeight="12.75"/>
  <cols>
    <col min="1" max="1" width="4.421875" style="192" customWidth="1"/>
    <col min="2" max="2" width="21.8515625" style="192" bestFit="1" customWidth="1"/>
    <col min="3" max="4" width="10.140625" style="198" bestFit="1" customWidth="1"/>
    <col min="5" max="5" width="8.00390625" style="198" bestFit="1" customWidth="1"/>
    <col min="6" max="6" width="8.140625" style="198" customWidth="1"/>
    <col min="7" max="7" width="8.140625" style="200" customWidth="1"/>
    <col min="8" max="8" width="8.00390625" style="198" bestFit="1" customWidth="1"/>
    <col min="9" max="11" width="8.140625" style="198" customWidth="1"/>
    <col min="12" max="12" width="8.140625" style="200" customWidth="1"/>
    <col min="13" max="13" width="10.140625" style="198" bestFit="1" customWidth="1"/>
    <col min="14" max="14" width="8.140625" style="198" customWidth="1"/>
    <col min="15" max="15" width="11.28125" style="145" bestFit="1" customWidth="1"/>
    <col min="16" max="16" width="12.57421875" style="198" bestFit="1" customWidth="1"/>
    <col min="17" max="17" width="11.57421875" style="197" bestFit="1" customWidth="1"/>
    <col min="18" max="18" width="11.28125" style="197" bestFit="1" customWidth="1"/>
    <col min="19" max="19" width="8.00390625" style="200" customWidth="1"/>
    <col min="20" max="20" width="8.00390625" style="192" bestFit="1" customWidth="1"/>
    <col min="21" max="21" width="12.00390625" style="192" bestFit="1" customWidth="1"/>
    <col min="22" max="22" width="4.421875" style="192" customWidth="1"/>
    <col min="23" max="23" width="7.00390625" style="192" bestFit="1" customWidth="1"/>
    <col min="24" max="16384" width="4.421875" style="192" customWidth="1"/>
  </cols>
  <sheetData>
    <row r="1" spans="1:18" ht="18.75">
      <c r="A1" s="585" t="s">
        <v>179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</row>
    <row r="2" spans="2:16" ht="13.5">
      <c r="B2" s="195" t="s">
        <v>141</v>
      </c>
      <c r="J2" s="198" t="s">
        <v>160</v>
      </c>
      <c r="N2" s="197" t="s">
        <v>188</v>
      </c>
      <c r="O2" s="146"/>
      <c r="P2" s="197"/>
    </row>
    <row r="3" spans="1:19" ht="34.5" customHeight="1">
      <c r="A3" s="584" t="s">
        <v>124</v>
      </c>
      <c r="B3" s="584" t="s">
        <v>102</v>
      </c>
      <c r="C3" s="583" t="s">
        <v>36</v>
      </c>
      <c r="D3" s="583"/>
      <c r="E3" s="583"/>
      <c r="F3" s="583"/>
      <c r="G3" s="586" t="s">
        <v>178</v>
      </c>
      <c r="H3" s="583" t="s">
        <v>37</v>
      </c>
      <c r="I3" s="583"/>
      <c r="J3" s="583"/>
      <c r="K3" s="583"/>
      <c r="L3" s="586" t="s">
        <v>178</v>
      </c>
      <c r="M3" s="583" t="s">
        <v>55</v>
      </c>
      <c r="N3" s="583"/>
      <c r="O3" s="583" t="s">
        <v>56</v>
      </c>
      <c r="P3" s="583"/>
      <c r="Q3" s="583"/>
      <c r="R3" s="583"/>
      <c r="S3" s="586" t="s">
        <v>178</v>
      </c>
    </row>
    <row r="4" spans="1:19" ht="34.5" customHeight="1">
      <c r="A4" s="584"/>
      <c r="B4" s="584"/>
      <c r="C4" s="583" t="s">
        <v>21</v>
      </c>
      <c r="D4" s="583"/>
      <c r="E4" s="583" t="s">
        <v>181</v>
      </c>
      <c r="F4" s="583"/>
      <c r="G4" s="586"/>
      <c r="H4" s="583" t="s">
        <v>21</v>
      </c>
      <c r="I4" s="583"/>
      <c r="J4" s="583" t="s">
        <v>181</v>
      </c>
      <c r="K4" s="583"/>
      <c r="L4" s="586"/>
      <c r="M4" s="583" t="s">
        <v>181</v>
      </c>
      <c r="N4" s="583"/>
      <c r="O4" s="583" t="s">
        <v>21</v>
      </c>
      <c r="P4" s="583"/>
      <c r="Q4" s="583" t="s">
        <v>181</v>
      </c>
      <c r="R4" s="583"/>
      <c r="S4" s="586"/>
    </row>
    <row r="5" spans="1:19" ht="34.5" customHeight="1">
      <c r="A5" s="584"/>
      <c r="B5" s="584"/>
      <c r="C5" s="201" t="s">
        <v>128</v>
      </c>
      <c r="D5" s="201" t="s">
        <v>101</v>
      </c>
      <c r="E5" s="201" t="s">
        <v>128</v>
      </c>
      <c r="F5" s="201" t="s">
        <v>101</v>
      </c>
      <c r="G5" s="586"/>
      <c r="H5" s="201" t="s">
        <v>128</v>
      </c>
      <c r="I5" s="201" t="s">
        <v>101</v>
      </c>
      <c r="J5" s="201" t="s">
        <v>128</v>
      </c>
      <c r="K5" s="201" t="s">
        <v>101</v>
      </c>
      <c r="L5" s="586"/>
      <c r="M5" s="201" t="s">
        <v>128</v>
      </c>
      <c r="N5" s="201" t="s">
        <v>101</v>
      </c>
      <c r="O5" s="155" t="s">
        <v>128</v>
      </c>
      <c r="P5" s="201" t="s">
        <v>101</v>
      </c>
      <c r="Q5" s="201" t="s">
        <v>128</v>
      </c>
      <c r="R5" s="201" t="s">
        <v>101</v>
      </c>
      <c r="S5" s="586"/>
    </row>
    <row r="6" spans="1:21" ht="13.5">
      <c r="A6" s="179">
        <v>1</v>
      </c>
      <c r="B6" s="203" t="s">
        <v>57</v>
      </c>
      <c r="C6" s="204">
        <v>7516</v>
      </c>
      <c r="D6" s="204">
        <v>10181.47</v>
      </c>
      <c r="E6" s="204">
        <v>0</v>
      </c>
      <c r="F6" s="204">
        <v>0</v>
      </c>
      <c r="G6" s="194">
        <f>F6*100/D6</f>
        <v>0</v>
      </c>
      <c r="H6" s="204">
        <v>266</v>
      </c>
      <c r="I6" s="204">
        <v>1017.6</v>
      </c>
      <c r="J6" s="204">
        <v>0</v>
      </c>
      <c r="K6" s="204">
        <v>0</v>
      </c>
      <c r="L6" s="194">
        <f>K6*100/I6</f>
        <v>0</v>
      </c>
      <c r="M6" s="204">
        <v>758</v>
      </c>
      <c r="N6" s="204">
        <v>1224.16</v>
      </c>
      <c r="O6" s="131">
        <f>H6+C6+'[1]ACP_PS_11(i)'!M6+'[1]ACP_PS_11(i)'!H6+'[1]ACP_PS_11(i)'!C6+'[1]ACP_MSME_10'!C6+'[1]ACP_Agri_9(ii)'!M6</f>
        <v>88570</v>
      </c>
      <c r="P6" s="204">
        <f>I6+D6+'[1]ACP_PS_11(i)'!N6+'[1]ACP_PS_11(i)'!I6+'[1]ACP_PS_11(i)'!D6+'[1]ACP_MSME_10'!D6+'[1]ACP_Agri_9(ii)'!N6</f>
        <v>226642.2</v>
      </c>
      <c r="Q6" s="204">
        <f>M6+J6+E6+'ACP_PS_11(i)'!O6+'ACP_PS_11(i)'!J6+'ACP_PS_11(i)'!E6+ACP_MSME_10!O6+'ACP_Agri_9(ii)'!O6</f>
        <v>7138</v>
      </c>
      <c r="R6" s="204">
        <f>N6+K6+F6+'[1]ACP_PS_11(i)'!P6+'[1]ACP_PS_11(i)'!K6+'[1]ACP_PS_11(i)'!F6+'[1]ACP_MSME_10'!P6+'[1]ACP_Agri_9(ii)'!P6</f>
        <v>10392.21</v>
      </c>
      <c r="S6" s="194">
        <f>R6*100/P6</f>
        <v>4.585293471383528</v>
      </c>
      <c r="T6" s="198" t="e">
        <f>R27+R34</f>
        <v>#REF!</v>
      </c>
      <c r="U6" s="198">
        <f>N6+K6+F6+'ACP_PS_11(i)'!P6+'ACP_PS_11(i)'!K6+'ACP_PS_11(i)'!F6+ACP_MSME_10!P6+'ACP_Agri_9(ii)'!P6</f>
        <v>10392.21</v>
      </c>
    </row>
    <row r="7" spans="1:21" ht="13.5">
      <c r="A7" s="179">
        <v>2</v>
      </c>
      <c r="B7" s="203" t="s">
        <v>58</v>
      </c>
      <c r="C7" s="204">
        <v>572</v>
      </c>
      <c r="D7" s="204">
        <v>915.41</v>
      </c>
      <c r="E7" s="204">
        <v>0</v>
      </c>
      <c r="F7" s="204">
        <v>0</v>
      </c>
      <c r="G7" s="194">
        <f aca="true" t="shared" si="0" ref="G7:G59">F7*100/D7</f>
        <v>0</v>
      </c>
      <c r="H7" s="204">
        <v>128</v>
      </c>
      <c r="I7" s="204">
        <v>129.09</v>
      </c>
      <c r="J7" s="204">
        <v>0</v>
      </c>
      <c r="K7" s="204">
        <v>0</v>
      </c>
      <c r="L7" s="194">
        <f aca="true" t="shared" si="1" ref="L7:L59">K7*100/I7</f>
        <v>0</v>
      </c>
      <c r="M7" s="204">
        <v>0</v>
      </c>
      <c r="N7" s="204">
        <v>0</v>
      </c>
      <c r="O7" s="131">
        <f>H7+C7+'[1]ACP_PS_11(i)'!M7+'[1]ACP_PS_11(i)'!H7+'[1]ACP_PS_11(i)'!C7+'[1]ACP_MSME_10'!C7+'[1]ACP_Agri_9(ii)'!M7</f>
        <v>3891</v>
      </c>
      <c r="P7" s="204">
        <f>I7+D7+'[1]ACP_PS_11(i)'!N7+'[1]ACP_PS_11(i)'!I7+'[1]ACP_PS_11(i)'!D7+'[1]ACP_MSME_10'!D7+'[1]ACP_Agri_9(ii)'!N7</f>
        <v>13013.93</v>
      </c>
      <c r="Q7" s="204">
        <f>M7+J7+E7+'ACP_PS_11(i)'!O7+'ACP_PS_11(i)'!J7+'ACP_PS_11(i)'!E7+ACP_MSME_10!O7+'ACP_Agri_9(ii)'!O7</f>
        <v>759</v>
      </c>
      <c r="R7" s="204">
        <f>N7+K7+F7+'[1]ACP_PS_11(i)'!P7+'[1]ACP_PS_11(i)'!K7+'[1]ACP_PS_11(i)'!F7+'[1]ACP_MSME_10'!P7+'[1]ACP_Agri_9(ii)'!P7</f>
        <v>1725</v>
      </c>
      <c r="S7" s="194">
        <f aca="true" t="shared" si="2" ref="S7:S59">R7*100/P7</f>
        <v>13.255027497458492</v>
      </c>
      <c r="U7" s="198">
        <f>N7+K7+F7+'ACP_PS_11(i)'!P7+'ACP_PS_11(i)'!K7+'ACP_PS_11(i)'!F7+ACP_MSME_10!P7+'ACP_Agri_9(ii)'!P7</f>
        <v>1725</v>
      </c>
    </row>
    <row r="8" spans="1:21" ht="13.5">
      <c r="A8" s="179">
        <v>3</v>
      </c>
      <c r="B8" s="203" t="s">
        <v>59</v>
      </c>
      <c r="C8" s="204">
        <v>6078</v>
      </c>
      <c r="D8" s="204">
        <v>13058.14</v>
      </c>
      <c r="E8" s="204">
        <v>0</v>
      </c>
      <c r="F8" s="204">
        <v>0</v>
      </c>
      <c r="G8" s="194">
        <f t="shared" si="0"/>
        <v>0</v>
      </c>
      <c r="H8" s="204">
        <v>156</v>
      </c>
      <c r="I8" s="204">
        <v>871.5618</v>
      </c>
      <c r="J8" s="204">
        <v>0</v>
      </c>
      <c r="K8" s="204">
        <v>0</v>
      </c>
      <c r="L8" s="194">
        <f t="shared" si="1"/>
        <v>0</v>
      </c>
      <c r="M8" s="204">
        <v>0</v>
      </c>
      <c r="N8" s="204">
        <v>0</v>
      </c>
      <c r="O8" s="131">
        <f>H8+C8+'[1]ACP_PS_11(i)'!M8+'[1]ACP_PS_11(i)'!H8+'[1]ACP_PS_11(i)'!C8+'[1]ACP_MSME_10'!C8+'[1]ACP_Agri_9(ii)'!M8</f>
        <v>63054</v>
      </c>
      <c r="P8" s="204">
        <f>I8+D8+'[1]ACP_PS_11(i)'!N8+'[1]ACP_PS_11(i)'!I8+'[1]ACP_PS_11(i)'!D8+'[1]ACP_MSME_10'!D8+'[1]ACP_Agri_9(ii)'!N8</f>
        <v>208822.4318</v>
      </c>
      <c r="Q8" s="204">
        <f>M8+J8+E8+'ACP_PS_11(i)'!O8+'ACP_PS_11(i)'!J8+'ACP_PS_11(i)'!E8+ACP_MSME_10!O8+'ACP_Agri_9(ii)'!O8</f>
        <v>12050</v>
      </c>
      <c r="R8" s="204">
        <f>N8+K8+F8+'[1]ACP_PS_11(i)'!P8+'[1]ACP_PS_11(i)'!K8+'[1]ACP_PS_11(i)'!F8+'[1]ACP_MSME_10'!P8+'[1]ACP_Agri_9(ii)'!P8</f>
        <v>61968.5</v>
      </c>
      <c r="S8" s="194">
        <f t="shared" si="2"/>
        <v>29.67521231595963</v>
      </c>
      <c r="U8" s="198">
        <f>N8+K8+F8+'ACP_PS_11(i)'!P8+'ACP_PS_11(i)'!K8+'ACP_PS_11(i)'!F8+ACP_MSME_10!P8+'ACP_Agri_9(ii)'!P8</f>
        <v>61968.5</v>
      </c>
    </row>
    <row r="9" spans="1:21" ht="13.5">
      <c r="A9" s="179">
        <v>4</v>
      </c>
      <c r="B9" s="203" t="s">
        <v>60</v>
      </c>
      <c r="C9" s="204">
        <v>7793</v>
      </c>
      <c r="D9" s="204">
        <v>15647.39</v>
      </c>
      <c r="E9" s="204">
        <v>0</v>
      </c>
      <c r="F9" s="204">
        <v>0</v>
      </c>
      <c r="G9" s="194">
        <f t="shared" si="0"/>
        <v>0</v>
      </c>
      <c r="H9" s="204">
        <v>284</v>
      </c>
      <c r="I9" s="204">
        <v>1341.7</v>
      </c>
      <c r="J9" s="204">
        <v>1</v>
      </c>
      <c r="K9" s="204">
        <v>4.75</v>
      </c>
      <c r="L9" s="194">
        <f t="shared" si="1"/>
        <v>0.3540284713423269</v>
      </c>
      <c r="M9" s="204">
        <v>178</v>
      </c>
      <c r="N9" s="204">
        <v>80.84</v>
      </c>
      <c r="O9" s="131">
        <f>H9+C9+'[1]ACP_PS_11(i)'!M9+'[1]ACP_PS_11(i)'!H9+'[1]ACP_PS_11(i)'!C9+'[1]ACP_MSME_10'!C9+'[1]ACP_Agri_9(ii)'!M9</f>
        <v>215190</v>
      </c>
      <c r="P9" s="204">
        <f>I9+D9+'[1]ACP_PS_11(i)'!N9+'[1]ACP_PS_11(i)'!I9+'[1]ACP_PS_11(i)'!D9+'[1]ACP_MSME_10'!D9+'[1]ACP_Agri_9(ii)'!N9</f>
        <v>890278.5900000001</v>
      </c>
      <c r="Q9" s="204">
        <f>M9+J9+E9+'ACP_PS_11(i)'!O9+'ACP_PS_11(i)'!J9+'ACP_PS_11(i)'!E9+ACP_MSME_10!O9+'ACP_Agri_9(ii)'!O9</f>
        <v>282080</v>
      </c>
      <c r="R9" s="204">
        <f>N9+K9+F9+'[1]ACP_PS_11(i)'!P9+'[1]ACP_PS_11(i)'!K9+'[1]ACP_PS_11(i)'!F9+'[1]ACP_MSME_10'!P9+'[1]ACP_Agri_9(ii)'!P9</f>
        <v>382381.44508139987</v>
      </c>
      <c r="S9" s="194">
        <f t="shared" si="2"/>
        <v>42.95076275858772</v>
      </c>
      <c r="U9" s="198">
        <f>N9+K9+F9+'ACP_PS_11(i)'!P9+'ACP_PS_11(i)'!K9+'ACP_PS_11(i)'!F9+ACP_MSME_10!P9+'ACP_Agri_9(ii)'!P9</f>
        <v>382381.44508139987</v>
      </c>
    </row>
    <row r="10" spans="1:21" ht="13.5">
      <c r="A10" s="179">
        <v>5</v>
      </c>
      <c r="B10" s="203" t="s">
        <v>61</v>
      </c>
      <c r="C10" s="204">
        <v>7832</v>
      </c>
      <c r="D10" s="204">
        <v>12757.93</v>
      </c>
      <c r="E10" s="204">
        <v>0</v>
      </c>
      <c r="F10" s="204">
        <v>0</v>
      </c>
      <c r="G10" s="194">
        <f t="shared" si="0"/>
        <v>0</v>
      </c>
      <c r="H10" s="204">
        <v>40</v>
      </c>
      <c r="I10" s="204">
        <v>468.94</v>
      </c>
      <c r="J10" s="204">
        <v>0</v>
      </c>
      <c r="K10" s="204">
        <v>0</v>
      </c>
      <c r="L10" s="194">
        <f t="shared" si="1"/>
        <v>0</v>
      </c>
      <c r="M10" s="204">
        <v>3989</v>
      </c>
      <c r="N10" s="204">
        <v>29854</v>
      </c>
      <c r="O10" s="131">
        <f>H10+C10+'[1]ACP_PS_11(i)'!M10+'[1]ACP_PS_11(i)'!H10+'[1]ACP_PS_11(i)'!C10+'[1]ACP_MSME_10'!C10+'[1]ACP_Agri_9(ii)'!M10</f>
        <v>66071</v>
      </c>
      <c r="P10" s="204">
        <f>I10+D10+'[1]ACP_PS_11(i)'!N10+'[1]ACP_PS_11(i)'!I10+'[1]ACP_PS_11(i)'!D10+'[1]ACP_MSME_10'!D10+'[1]ACP_Agri_9(ii)'!N10</f>
        <v>200090.56</v>
      </c>
      <c r="Q10" s="204">
        <f>M10+J10+E10+'ACP_PS_11(i)'!O10+'ACP_PS_11(i)'!J10+'ACP_PS_11(i)'!E10+ACP_MSME_10!O10+'ACP_Agri_9(ii)'!O10</f>
        <v>27750</v>
      </c>
      <c r="R10" s="204">
        <f>N10+K10+F10+'[1]ACP_PS_11(i)'!P10+'[1]ACP_PS_11(i)'!K10+'[1]ACP_PS_11(i)'!F10+'[1]ACP_MSME_10'!P10+'[1]ACP_Agri_9(ii)'!P10</f>
        <v>93599.33</v>
      </c>
      <c r="S10" s="194">
        <f t="shared" si="2"/>
        <v>46.77848370257947</v>
      </c>
      <c r="U10" s="198">
        <f>N10+K10+F10+'ACP_PS_11(i)'!P10+'ACP_PS_11(i)'!K10+'ACP_PS_11(i)'!F10+ACP_MSME_10!P10+'ACP_Agri_9(ii)'!P10</f>
        <v>93599.33</v>
      </c>
    </row>
    <row r="11" spans="1:21" ht="13.5">
      <c r="A11" s="179">
        <v>6</v>
      </c>
      <c r="B11" s="205" t="s">
        <v>289</v>
      </c>
      <c r="C11" s="204">
        <v>0</v>
      </c>
      <c r="D11" s="204">
        <v>0</v>
      </c>
      <c r="E11" s="204">
        <v>0</v>
      </c>
      <c r="F11" s="204">
        <v>0</v>
      </c>
      <c r="G11" s="194">
        <v>0</v>
      </c>
      <c r="H11" s="204">
        <v>0</v>
      </c>
      <c r="I11" s="204">
        <v>0</v>
      </c>
      <c r="J11" s="204">
        <v>0</v>
      </c>
      <c r="K11" s="204">
        <v>0</v>
      </c>
      <c r="L11" s="194">
        <v>0</v>
      </c>
      <c r="M11" s="204">
        <v>0</v>
      </c>
      <c r="N11" s="204">
        <v>0</v>
      </c>
      <c r="O11" s="131">
        <f>H11+C11+'[1]ACP_PS_11(i)'!M11+'[1]ACP_PS_11(i)'!H11+'[1]ACP_PS_11(i)'!C11+'[1]ACP_MSME_10'!C11+'[1]ACP_Agri_9(ii)'!M11</f>
        <v>441</v>
      </c>
      <c r="P11" s="204">
        <f>I11+D11+'[1]ACP_PS_11(i)'!N11+'[1]ACP_PS_11(i)'!I11+'[1]ACP_PS_11(i)'!D11+'[1]ACP_MSME_10'!D11+'[1]ACP_Agri_9(ii)'!N11</f>
        <v>1336.47</v>
      </c>
      <c r="Q11" s="204">
        <f>M11+J11+E11+'ACP_PS_11(i)'!O11+'ACP_PS_11(i)'!J11+'ACP_PS_11(i)'!E11+ACP_MSME_10!O11+'ACP_Agri_9(ii)'!O11</f>
        <v>40</v>
      </c>
      <c r="R11" s="204">
        <f>N11+K11+F11+'[1]ACP_PS_11(i)'!P11+'[1]ACP_PS_11(i)'!K11+'[1]ACP_PS_11(i)'!F11+'[1]ACP_MSME_10'!P11+'[1]ACP_Agri_9(ii)'!P11</f>
        <v>165.65</v>
      </c>
      <c r="S11" s="194">
        <f t="shared" si="2"/>
        <v>12.39459172297171</v>
      </c>
      <c r="U11" s="198">
        <f>N11+K11+F11+'ACP_PS_11(i)'!P11+'ACP_PS_11(i)'!K11+'ACP_PS_11(i)'!F11+ACP_MSME_10!P11+'ACP_Agri_9(ii)'!P11</f>
        <v>165.65</v>
      </c>
    </row>
    <row r="12" spans="1:21" ht="13.5">
      <c r="A12" s="179">
        <v>7</v>
      </c>
      <c r="B12" s="203" t="s">
        <v>62</v>
      </c>
      <c r="C12" s="204">
        <v>3016</v>
      </c>
      <c r="D12" s="204">
        <v>5862.24</v>
      </c>
      <c r="E12" s="204">
        <v>0</v>
      </c>
      <c r="F12" s="204">
        <v>0</v>
      </c>
      <c r="G12" s="194">
        <f t="shared" si="0"/>
        <v>0</v>
      </c>
      <c r="H12" s="204">
        <v>27</v>
      </c>
      <c r="I12" s="204">
        <v>522.74</v>
      </c>
      <c r="J12" s="204">
        <v>0</v>
      </c>
      <c r="K12" s="204">
        <v>0</v>
      </c>
      <c r="L12" s="194">
        <f t="shared" si="1"/>
        <v>0</v>
      </c>
      <c r="M12" s="204">
        <v>2579</v>
      </c>
      <c r="N12" s="204">
        <v>191</v>
      </c>
      <c r="O12" s="131">
        <f>H12+C12+'[1]ACP_PS_11(i)'!M12+'[1]ACP_PS_11(i)'!H12+'[1]ACP_PS_11(i)'!C12+'[1]ACP_MSME_10'!C12+'[1]ACP_Agri_9(ii)'!M12</f>
        <v>34652</v>
      </c>
      <c r="P12" s="204">
        <f>I12+D12+'[1]ACP_PS_11(i)'!N12+'[1]ACP_PS_11(i)'!I12+'[1]ACP_PS_11(i)'!D12+'[1]ACP_MSME_10'!D12+'[1]ACP_Agri_9(ii)'!N12</f>
        <v>103549.57</v>
      </c>
      <c r="Q12" s="204">
        <f>M12+J12+E12+'ACP_PS_11(i)'!O12+'ACP_PS_11(i)'!J12+'ACP_PS_11(i)'!E12+ACP_MSME_10!O12+'ACP_Agri_9(ii)'!O12</f>
        <v>22612</v>
      </c>
      <c r="R12" s="204">
        <f>N12+K12+F12+'[1]ACP_PS_11(i)'!P12+'[1]ACP_PS_11(i)'!K12+'[1]ACP_PS_11(i)'!F12+'[1]ACP_MSME_10'!P12+'[1]ACP_Agri_9(ii)'!P12</f>
        <v>39783</v>
      </c>
      <c r="S12" s="194">
        <f t="shared" si="2"/>
        <v>38.419280736752455</v>
      </c>
      <c r="U12" s="198">
        <f>N12+K12+F12+'ACP_PS_11(i)'!P12+'ACP_PS_11(i)'!K12+'ACP_PS_11(i)'!F12+ACP_MSME_10!P12+'ACP_Agri_9(ii)'!P12</f>
        <v>39783</v>
      </c>
    </row>
    <row r="13" spans="1:21" ht="13.5">
      <c r="A13" s="179">
        <v>8</v>
      </c>
      <c r="B13" s="203" t="s">
        <v>63</v>
      </c>
      <c r="C13" s="204">
        <v>21930</v>
      </c>
      <c r="D13" s="204">
        <v>39982.98</v>
      </c>
      <c r="E13" s="204">
        <v>0</v>
      </c>
      <c r="F13" s="204">
        <v>0</v>
      </c>
      <c r="G13" s="194">
        <f t="shared" si="0"/>
        <v>0</v>
      </c>
      <c r="H13" s="204">
        <v>325</v>
      </c>
      <c r="I13" s="204">
        <v>1583.68</v>
      </c>
      <c r="J13" s="204">
        <v>0</v>
      </c>
      <c r="K13" s="204">
        <v>0</v>
      </c>
      <c r="L13" s="194">
        <f t="shared" si="1"/>
        <v>0</v>
      </c>
      <c r="M13" s="204"/>
      <c r="N13" s="204"/>
      <c r="O13" s="131">
        <f>H13+C13+'[1]ACP_PS_11(i)'!M13+'[1]ACP_PS_11(i)'!H13+'[1]ACP_PS_11(i)'!C13+'[1]ACP_MSME_10'!C13+'[1]ACP_Agri_9(ii)'!M13</f>
        <v>263434</v>
      </c>
      <c r="P13" s="204">
        <f>I13+D13+'[1]ACP_PS_11(i)'!N13+'[1]ACP_PS_11(i)'!I13+'[1]ACP_PS_11(i)'!D13+'[1]ACP_MSME_10'!D13+'[1]ACP_Agri_9(ii)'!N13</f>
        <v>784960.0399999999</v>
      </c>
      <c r="Q13" s="204">
        <f>M13+J13+E13+'ACP_PS_11(i)'!O13+'ACP_PS_11(i)'!J13+'ACP_PS_11(i)'!E13+ACP_MSME_10!O13+'ACP_Agri_9(ii)'!O13</f>
        <v>49445</v>
      </c>
      <c r="R13" s="204">
        <f>N13+K13+F13+'[1]ACP_PS_11(i)'!P13+'[1]ACP_PS_11(i)'!K13+'[1]ACP_PS_11(i)'!F13+'[1]ACP_MSME_10'!P13+'[1]ACP_Agri_9(ii)'!P13</f>
        <v>164518.97336</v>
      </c>
      <c r="S13" s="194">
        <f t="shared" si="2"/>
        <v>20.958897902624447</v>
      </c>
      <c r="U13" s="198">
        <f>N13+K13+F13+'ACP_PS_11(i)'!P13+'ACP_PS_11(i)'!K13+'ACP_PS_11(i)'!F13+ACP_MSME_10!P13+'ACP_Agri_9(ii)'!P13</f>
        <v>164518.97336</v>
      </c>
    </row>
    <row r="14" spans="1:21" ht="13.5">
      <c r="A14" s="179">
        <v>9</v>
      </c>
      <c r="B14" s="203" t="s">
        <v>50</v>
      </c>
      <c r="C14" s="204">
        <v>1564</v>
      </c>
      <c r="D14" s="204">
        <v>2540.14</v>
      </c>
      <c r="E14" s="204">
        <v>0</v>
      </c>
      <c r="F14" s="204">
        <v>0</v>
      </c>
      <c r="G14" s="194">
        <f t="shared" si="0"/>
        <v>0</v>
      </c>
      <c r="H14" s="204">
        <v>114</v>
      </c>
      <c r="I14" s="204">
        <v>217.89</v>
      </c>
      <c r="J14" s="204">
        <v>0</v>
      </c>
      <c r="K14" s="204">
        <v>0</v>
      </c>
      <c r="L14" s="194">
        <f t="shared" si="1"/>
        <v>0</v>
      </c>
      <c r="M14" s="204">
        <v>8510</v>
      </c>
      <c r="N14" s="204">
        <v>882</v>
      </c>
      <c r="O14" s="131">
        <f>H14+C14+'[1]ACP_PS_11(i)'!M14+'[1]ACP_PS_11(i)'!H14+'[1]ACP_PS_11(i)'!C14+'[1]ACP_MSME_10'!C14+'[1]ACP_Agri_9(ii)'!M14</f>
        <v>9905</v>
      </c>
      <c r="P14" s="204">
        <f>I14+D14+'[1]ACP_PS_11(i)'!N14+'[1]ACP_PS_11(i)'!I14+'[1]ACP_PS_11(i)'!D14+'[1]ACP_MSME_10'!D14+'[1]ACP_Agri_9(ii)'!N14</f>
        <v>32057.37</v>
      </c>
      <c r="Q14" s="204">
        <f>M14+J14+E14+'ACP_PS_11(i)'!O14+'ACP_PS_11(i)'!J14+'ACP_PS_11(i)'!E14+ACP_MSME_10!O14+'ACP_Agri_9(ii)'!O14</f>
        <v>27870</v>
      </c>
      <c r="R14" s="204">
        <f>N14+K14+F14+'[1]ACP_PS_11(i)'!P14+'[1]ACP_PS_11(i)'!K14+'[1]ACP_PS_11(i)'!F14+'[1]ACP_MSME_10'!P14+'[1]ACP_Agri_9(ii)'!P14</f>
        <v>59418.74</v>
      </c>
      <c r="S14" s="194">
        <f t="shared" si="2"/>
        <v>185.35126243980713</v>
      </c>
      <c r="U14" s="198">
        <f>N14+K14+F14+'ACP_PS_11(i)'!P14+'ACP_PS_11(i)'!K14+'ACP_PS_11(i)'!F14+ACP_MSME_10!P14+'ACP_Agri_9(ii)'!P14</f>
        <v>59418.74</v>
      </c>
    </row>
    <row r="15" spans="1:21" ht="13.5">
      <c r="A15" s="179">
        <v>10</v>
      </c>
      <c r="B15" s="203" t="s">
        <v>51</v>
      </c>
      <c r="C15" s="204">
        <v>1890</v>
      </c>
      <c r="D15" s="204">
        <v>4008.94</v>
      </c>
      <c r="E15" s="204">
        <v>0</v>
      </c>
      <c r="F15" s="204">
        <v>0</v>
      </c>
      <c r="G15" s="194">
        <f t="shared" si="0"/>
        <v>0</v>
      </c>
      <c r="H15" s="204">
        <v>115</v>
      </c>
      <c r="I15" s="204">
        <v>255.04</v>
      </c>
      <c r="J15" s="204">
        <v>0</v>
      </c>
      <c r="K15" s="204">
        <v>0</v>
      </c>
      <c r="L15" s="194">
        <f t="shared" si="1"/>
        <v>0</v>
      </c>
      <c r="M15" s="204">
        <v>0</v>
      </c>
      <c r="N15" s="204">
        <v>0</v>
      </c>
      <c r="O15" s="131">
        <f>H15+C15+'[1]ACP_PS_11(i)'!M15+'[1]ACP_PS_11(i)'!H15+'[1]ACP_PS_11(i)'!C15+'[1]ACP_MSME_10'!C15+'[1]ACP_Agri_9(ii)'!M15</f>
        <v>20519</v>
      </c>
      <c r="P15" s="204">
        <f>I15+D15+'[1]ACP_PS_11(i)'!N15+'[1]ACP_PS_11(i)'!I15+'[1]ACP_PS_11(i)'!D15+'[1]ACP_MSME_10'!D15+'[1]ACP_Agri_9(ii)'!N15</f>
        <v>72025.31</v>
      </c>
      <c r="Q15" s="204">
        <f>M15+J15+E15+'ACP_PS_11(i)'!O15+'ACP_PS_11(i)'!J15+'ACP_PS_11(i)'!E15+ACP_MSME_10!O15+'ACP_Agri_9(ii)'!O15</f>
        <v>2049</v>
      </c>
      <c r="R15" s="204">
        <f>N15+K15+F15+'[1]ACP_PS_11(i)'!P15+'[1]ACP_PS_11(i)'!K15+'[1]ACP_PS_11(i)'!F15+'[1]ACP_MSME_10'!P15+'[1]ACP_Agri_9(ii)'!P15</f>
        <v>13378.5</v>
      </c>
      <c r="S15" s="194">
        <f t="shared" si="2"/>
        <v>18.57472046979041</v>
      </c>
      <c r="U15" s="198">
        <f>N15+K15+F15+'ACP_PS_11(i)'!P15+'ACP_PS_11(i)'!K15+'ACP_PS_11(i)'!F15+ACP_MSME_10!P15+'ACP_Agri_9(ii)'!P15</f>
        <v>13378.5</v>
      </c>
    </row>
    <row r="16" spans="1:21" ht="13.5">
      <c r="A16" s="179">
        <v>11</v>
      </c>
      <c r="B16" s="203" t="s">
        <v>290</v>
      </c>
      <c r="C16" s="204">
        <v>1000</v>
      </c>
      <c r="D16" s="204">
        <v>1846.6</v>
      </c>
      <c r="E16" s="204">
        <v>7</v>
      </c>
      <c r="F16" s="204">
        <v>19.3</v>
      </c>
      <c r="G16" s="194">
        <f t="shared" si="0"/>
        <v>1.0451640853460413</v>
      </c>
      <c r="H16" s="204">
        <v>85</v>
      </c>
      <c r="I16" s="204">
        <v>164.32</v>
      </c>
      <c r="J16" s="204">
        <v>0</v>
      </c>
      <c r="K16" s="204">
        <v>0</v>
      </c>
      <c r="L16" s="194">
        <f t="shared" si="1"/>
        <v>0</v>
      </c>
      <c r="M16" s="204">
        <v>0</v>
      </c>
      <c r="N16" s="204">
        <v>0</v>
      </c>
      <c r="O16" s="131">
        <f>H16+C16+'[1]ACP_PS_11(i)'!M16+'[1]ACP_PS_11(i)'!H16+'[1]ACP_PS_11(i)'!C16+'[1]ACP_MSME_10'!C16+'[1]ACP_Agri_9(ii)'!M16</f>
        <v>15704</v>
      </c>
      <c r="P16" s="204">
        <f>I16+D16+'[1]ACP_PS_11(i)'!N16+'[1]ACP_PS_11(i)'!I16+'[1]ACP_PS_11(i)'!D16+'[1]ACP_MSME_10'!D16+'[1]ACP_Agri_9(ii)'!N16</f>
        <v>50786.16</v>
      </c>
      <c r="Q16" s="204">
        <f>M16+J16+E16+'ACP_PS_11(i)'!O16+'ACP_PS_11(i)'!J16+'ACP_PS_11(i)'!E16+ACP_MSME_10!O16+'ACP_Agri_9(ii)'!O16</f>
        <v>10412</v>
      </c>
      <c r="R16" s="204">
        <f>N16+K16+F16+'[1]ACP_PS_11(i)'!P16+'[1]ACP_PS_11(i)'!K16+'[1]ACP_PS_11(i)'!F16+'[1]ACP_MSME_10'!P16+'[1]ACP_Agri_9(ii)'!P16</f>
        <v>49237.85</v>
      </c>
      <c r="S16" s="194">
        <f t="shared" si="2"/>
        <v>96.9513150826918</v>
      </c>
      <c r="T16" s="198"/>
      <c r="U16" s="198">
        <f>N16+K16+F16+'ACP_PS_11(i)'!P16+'ACP_PS_11(i)'!K16+'ACP_PS_11(i)'!F16+ACP_MSME_10!P16+'ACP_Agri_9(ii)'!P16</f>
        <v>49237.85</v>
      </c>
    </row>
    <row r="17" spans="1:21" ht="13.5">
      <c r="A17" s="179">
        <v>12</v>
      </c>
      <c r="B17" s="203" t="s">
        <v>64</v>
      </c>
      <c r="C17" s="204">
        <v>654</v>
      </c>
      <c r="D17" s="204">
        <v>1068.08</v>
      </c>
      <c r="E17" s="204">
        <v>0</v>
      </c>
      <c r="F17" s="204">
        <v>0</v>
      </c>
      <c r="G17" s="194">
        <f t="shared" si="0"/>
        <v>0</v>
      </c>
      <c r="H17" s="204">
        <v>86</v>
      </c>
      <c r="I17" s="204">
        <v>116.52</v>
      </c>
      <c r="J17" s="204">
        <v>0</v>
      </c>
      <c r="K17" s="204">
        <v>0</v>
      </c>
      <c r="L17" s="194">
        <f t="shared" si="1"/>
        <v>0</v>
      </c>
      <c r="M17" s="204">
        <v>0</v>
      </c>
      <c r="N17" s="204">
        <v>0</v>
      </c>
      <c r="O17" s="131">
        <f>H17+C17+'[1]ACP_PS_11(i)'!M17+'[1]ACP_PS_11(i)'!H17+'[1]ACP_PS_11(i)'!C17+'[1]ACP_MSME_10'!C17+'[1]ACP_Agri_9(ii)'!M17</f>
        <v>6884</v>
      </c>
      <c r="P17" s="204">
        <f>I17+D17+'[1]ACP_PS_11(i)'!N17+'[1]ACP_PS_11(i)'!I17+'[1]ACP_PS_11(i)'!D17+'[1]ACP_MSME_10'!D17+'[1]ACP_Agri_9(ii)'!N17</f>
        <v>23895.4</v>
      </c>
      <c r="Q17" s="204">
        <f>M17+J17+E17+'ACP_PS_11(i)'!O17+'ACP_PS_11(i)'!J17+'ACP_PS_11(i)'!E17+ACP_MSME_10!O17+'ACP_Agri_9(ii)'!O17</f>
        <v>7004</v>
      </c>
      <c r="R17" s="204">
        <f>N17+K17+F17+'[1]ACP_PS_11(i)'!P17+'[1]ACP_PS_11(i)'!K17+'[1]ACP_PS_11(i)'!F17+'[1]ACP_MSME_10'!P17+'[1]ACP_Agri_9(ii)'!P17</f>
        <v>18825.559999999998</v>
      </c>
      <c r="S17" s="194">
        <f t="shared" si="2"/>
        <v>78.78319676590472</v>
      </c>
      <c r="U17" s="198">
        <f>N17+K17+F17+'ACP_PS_11(i)'!P17+'ACP_PS_11(i)'!K17+'ACP_PS_11(i)'!F17+ACP_MSME_10!P17+'ACP_Agri_9(ii)'!P17</f>
        <v>18825.559999999998</v>
      </c>
    </row>
    <row r="18" spans="1:21" ht="13.5">
      <c r="A18" s="179">
        <v>13</v>
      </c>
      <c r="B18" s="203" t="s">
        <v>65</v>
      </c>
      <c r="C18" s="204">
        <v>1626</v>
      </c>
      <c r="D18" s="204">
        <v>2975.34</v>
      </c>
      <c r="E18" s="204">
        <v>0</v>
      </c>
      <c r="F18" s="204">
        <v>0</v>
      </c>
      <c r="G18" s="194">
        <f t="shared" si="0"/>
        <v>0</v>
      </c>
      <c r="H18" s="204">
        <v>75</v>
      </c>
      <c r="I18" s="204">
        <v>176.35</v>
      </c>
      <c r="J18" s="204">
        <v>0</v>
      </c>
      <c r="K18" s="204">
        <v>0</v>
      </c>
      <c r="L18" s="194">
        <f t="shared" si="1"/>
        <v>0</v>
      </c>
      <c r="M18" s="204">
        <v>646</v>
      </c>
      <c r="N18" s="204">
        <v>3475.38</v>
      </c>
      <c r="O18" s="131">
        <f>H18+C18+'[1]ACP_PS_11(i)'!M18+'[1]ACP_PS_11(i)'!H18+'[1]ACP_PS_11(i)'!C18+'[1]ACP_MSME_10'!C18+'[1]ACP_Agri_9(ii)'!M18</f>
        <v>8866</v>
      </c>
      <c r="P18" s="204">
        <f>I18+D18+'[1]ACP_PS_11(i)'!N18+'[1]ACP_PS_11(i)'!I18+'[1]ACP_PS_11(i)'!D18+'[1]ACP_MSME_10'!D18+'[1]ACP_Agri_9(ii)'!N18</f>
        <v>28005.690000000002</v>
      </c>
      <c r="Q18" s="204">
        <f>M18+J18+E18+'ACP_PS_11(i)'!O18+'ACP_PS_11(i)'!J18+'ACP_PS_11(i)'!E18+ACP_MSME_10!O18+'ACP_Agri_9(ii)'!O18</f>
        <v>1292</v>
      </c>
      <c r="R18" s="204">
        <f>N18+K18+F18+'[1]ACP_PS_11(i)'!P18+'[1]ACP_PS_11(i)'!K18+'[1]ACP_PS_11(i)'!F18+'[1]ACP_MSME_10'!P18+'[1]ACP_Agri_9(ii)'!P18</f>
        <v>11666.619999999999</v>
      </c>
      <c r="S18" s="194">
        <f t="shared" si="2"/>
        <v>41.658034492276386</v>
      </c>
      <c r="U18" s="198">
        <f>N18+K18+F18+'ACP_PS_11(i)'!P18+'ACP_PS_11(i)'!K18+'ACP_PS_11(i)'!F18+ACP_MSME_10!P18+'ACP_Agri_9(ii)'!P18</f>
        <v>11666.619999999999</v>
      </c>
    </row>
    <row r="19" spans="1:21" ht="13.5">
      <c r="A19" s="179">
        <v>14</v>
      </c>
      <c r="B19" s="134" t="s">
        <v>316</v>
      </c>
      <c r="C19" s="204">
        <v>3880</v>
      </c>
      <c r="D19" s="204">
        <v>6792.64</v>
      </c>
      <c r="E19" s="204">
        <v>0</v>
      </c>
      <c r="F19" s="204">
        <v>0</v>
      </c>
      <c r="G19" s="194">
        <f t="shared" si="0"/>
        <v>0</v>
      </c>
      <c r="H19" s="204">
        <v>66</v>
      </c>
      <c r="I19" s="204">
        <v>663.24</v>
      </c>
      <c r="J19" s="204">
        <v>0</v>
      </c>
      <c r="K19" s="204">
        <v>0</v>
      </c>
      <c r="L19" s="194">
        <f t="shared" si="1"/>
        <v>0</v>
      </c>
      <c r="M19" s="204">
        <v>6</v>
      </c>
      <c r="N19" s="204">
        <v>2.25</v>
      </c>
      <c r="O19" s="131">
        <f>H19+C19+'[1]ACP_PS_11(i)'!M19+'[1]ACP_PS_11(i)'!H19+'[1]ACP_PS_11(i)'!C19+'[1]ACP_MSME_10'!C19+'[1]ACP_Agri_9(ii)'!M19</f>
        <v>27237</v>
      </c>
      <c r="P19" s="204">
        <f>I19+D19+'[1]ACP_PS_11(i)'!N19+'[1]ACP_PS_11(i)'!I19+'[1]ACP_PS_11(i)'!D19+'[1]ACP_MSME_10'!D19+'[1]ACP_Agri_9(ii)'!N19</f>
        <v>89997.31999999999</v>
      </c>
      <c r="Q19" s="204">
        <f>M19+J19+E19+'ACP_PS_11(i)'!O19+'ACP_PS_11(i)'!J19+'ACP_PS_11(i)'!E19+ACP_MSME_10!O19+'ACP_Agri_9(ii)'!O19</f>
        <v>4419</v>
      </c>
      <c r="R19" s="204">
        <f>N19+K19+F19+'[1]ACP_PS_11(i)'!P19+'[1]ACP_PS_11(i)'!K19+'[1]ACP_PS_11(i)'!F19+'[1]ACP_MSME_10'!P19+'[1]ACP_Agri_9(ii)'!P19</f>
        <v>17422.56</v>
      </c>
      <c r="S19" s="194">
        <f t="shared" si="2"/>
        <v>19.358976467299254</v>
      </c>
      <c r="U19" s="198">
        <f>N19+K19+F19+'ACP_PS_11(i)'!P19+'ACP_PS_11(i)'!K19+'ACP_PS_11(i)'!F19+ACP_MSME_10!P19+'ACP_Agri_9(ii)'!P19</f>
        <v>17422.56</v>
      </c>
    </row>
    <row r="20" spans="1:21" ht="13.5">
      <c r="A20" s="179">
        <v>15</v>
      </c>
      <c r="B20" s="203" t="s">
        <v>292</v>
      </c>
      <c r="C20" s="204">
        <v>2482</v>
      </c>
      <c r="D20" s="204">
        <v>3988.2</v>
      </c>
      <c r="E20" s="204">
        <v>0</v>
      </c>
      <c r="F20" s="204">
        <v>0</v>
      </c>
      <c r="G20" s="194">
        <f t="shared" si="0"/>
        <v>0</v>
      </c>
      <c r="H20" s="204">
        <v>28</v>
      </c>
      <c r="I20" s="204">
        <v>221.09</v>
      </c>
      <c r="J20" s="204">
        <v>0</v>
      </c>
      <c r="K20" s="204">
        <v>0</v>
      </c>
      <c r="L20" s="194">
        <f t="shared" si="1"/>
        <v>0</v>
      </c>
      <c r="M20" s="204">
        <v>26</v>
      </c>
      <c r="N20" s="204">
        <v>63</v>
      </c>
      <c r="O20" s="131">
        <f>H20+C20+'[1]ACP_PS_11(i)'!M20+'[1]ACP_PS_11(i)'!H20+'[1]ACP_PS_11(i)'!C20+'[1]ACP_MSME_10'!C20+'[1]ACP_Agri_9(ii)'!M20</f>
        <v>12553</v>
      </c>
      <c r="P20" s="204">
        <f>I20+D20+'[1]ACP_PS_11(i)'!N20+'[1]ACP_PS_11(i)'!I20+'[1]ACP_PS_11(i)'!D20+'[1]ACP_MSME_10'!D20+'[1]ACP_Agri_9(ii)'!N20</f>
        <v>40126.89</v>
      </c>
      <c r="Q20" s="204">
        <f>M20+J20+E20+'ACP_PS_11(i)'!O20+'ACP_PS_11(i)'!J20+'ACP_PS_11(i)'!E20+ACP_MSME_10!O20+'ACP_Agri_9(ii)'!O20</f>
        <v>504</v>
      </c>
      <c r="R20" s="204">
        <f>N20+K20+F20+'[1]ACP_PS_11(i)'!P20+'[1]ACP_PS_11(i)'!K20+'[1]ACP_PS_11(i)'!F20+'[1]ACP_MSME_10'!P20+'[1]ACP_Agri_9(ii)'!P20</f>
        <v>2358.7799999999997</v>
      </c>
      <c r="S20" s="194">
        <f t="shared" si="2"/>
        <v>5.878302554720786</v>
      </c>
      <c r="U20" s="198">
        <f>N20+K20+F20+'ACP_PS_11(i)'!P20+'ACP_PS_11(i)'!K20+'ACP_PS_11(i)'!F20+ACP_MSME_10!P20+'ACP_Agri_9(ii)'!P20</f>
        <v>2358.7799999999997</v>
      </c>
    </row>
    <row r="21" spans="1:21" ht="13.5">
      <c r="A21" s="179">
        <v>16</v>
      </c>
      <c r="B21" s="203" t="s">
        <v>66</v>
      </c>
      <c r="C21" s="204">
        <v>12110</v>
      </c>
      <c r="D21" s="204">
        <v>24488.94</v>
      </c>
      <c r="E21" s="204">
        <v>3</v>
      </c>
      <c r="F21" s="204">
        <v>38</v>
      </c>
      <c r="G21" s="194">
        <f t="shared" si="0"/>
        <v>0.15517208993120976</v>
      </c>
      <c r="H21" s="204">
        <v>329</v>
      </c>
      <c r="I21" s="204">
        <v>2421.23</v>
      </c>
      <c r="J21" s="204">
        <v>0</v>
      </c>
      <c r="K21" s="204">
        <v>0</v>
      </c>
      <c r="L21" s="194">
        <f t="shared" si="1"/>
        <v>0</v>
      </c>
      <c r="M21" s="204">
        <v>429</v>
      </c>
      <c r="N21" s="204">
        <v>133</v>
      </c>
      <c r="O21" s="131">
        <f>H21+C21+'[1]ACP_PS_11(i)'!M21+'[1]ACP_PS_11(i)'!H21+'[1]ACP_PS_11(i)'!C21+'[1]ACP_MSME_10'!C21+'[1]ACP_Agri_9(ii)'!M21</f>
        <v>139577</v>
      </c>
      <c r="P21" s="204">
        <f>I21+D21+'[1]ACP_PS_11(i)'!N21+'[1]ACP_PS_11(i)'!I21+'[1]ACP_PS_11(i)'!D21+'[1]ACP_MSME_10'!D21+'[1]ACP_Agri_9(ii)'!N21</f>
        <v>490182.92000000004</v>
      </c>
      <c r="Q21" s="204">
        <f>M21+J21+E21+'ACP_PS_11(i)'!O21+'ACP_PS_11(i)'!J21+'ACP_PS_11(i)'!E21+ACP_MSME_10!O21+'ACP_Agri_9(ii)'!O21</f>
        <v>73429</v>
      </c>
      <c r="R21" s="204" t="e">
        <f>N21+K21+F21+'[1]ACP_PS_11(i)'!P21+'[1]ACP_PS_11(i)'!K21+'[1]ACP_PS_11(i)'!F21+'[1]ACP_MSME_10'!P21+'[1]ACP_Agri_9(ii)'!P21</f>
        <v>#REF!</v>
      </c>
      <c r="S21" s="194" t="e">
        <f t="shared" si="2"/>
        <v>#REF!</v>
      </c>
      <c r="U21" s="198">
        <f>N21+K21+F21+'ACP_PS_11(i)'!P21+'ACP_PS_11(i)'!K21+'ACP_PS_11(i)'!F21+ACP_MSME_10!P21+'ACP_Agri_9(ii)'!P21</f>
        <v>279581</v>
      </c>
    </row>
    <row r="22" spans="1:21" ht="13.5">
      <c r="A22" s="179">
        <v>17</v>
      </c>
      <c r="B22" s="135" t="s">
        <v>67</v>
      </c>
      <c r="C22" s="204">
        <v>2998</v>
      </c>
      <c r="D22" s="204">
        <v>4973.8</v>
      </c>
      <c r="E22" s="204">
        <v>0</v>
      </c>
      <c r="F22" s="204">
        <v>0</v>
      </c>
      <c r="G22" s="194">
        <f t="shared" si="0"/>
        <v>0</v>
      </c>
      <c r="H22" s="204">
        <v>12</v>
      </c>
      <c r="I22" s="204">
        <v>282.61</v>
      </c>
      <c r="J22" s="204">
        <v>0</v>
      </c>
      <c r="K22" s="204">
        <v>0</v>
      </c>
      <c r="L22" s="194">
        <f t="shared" si="1"/>
        <v>0</v>
      </c>
      <c r="M22" s="204">
        <v>699</v>
      </c>
      <c r="N22" s="204">
        <v>261</v>
      </c>
      <c r="O22" s="131">
        <f>H22+C22+'[1]ACP_PS_11(i)'!M22+'[1]ACP_PS_11(i)'!H22+'[1]ACP_PS_11(i)'!C22+'[1]ACP_MSME_10'!C22+'[1]ACP_Agri_9(ii)'!M22</f>
        <v>24595</v>
      </c>
      <c r="P22" s="204">
        <f>I22+D22+'[1]ACP_PS_11(i)'!N22+'[1]ACP_PS_11(i)'!I22+'[1]ACP_PS_11(i)'!D22+'[1]ACP_MSME_10'!D22+'[1]ACP_Agri_9(ii)'!N22</f>
        <v>72001.51000000001</v>
      </c>
      <c r="Q22" s="204">
        <f>M22+J22+E22+'ACP_PS_11(i)'!O22+'ACP_PS_11(i)'!J22+'ACP_PS_11(i)'!E22+ACP_MSME_10!O22+'ACP_Agri_9(ii)'!O22</f>
        <v>29089</v>
      </c>
      <c r="R22" s="204">
        <f>N22+K22+F22+'[1]ACP_PS_11(i)'!P22+'[1]ACP_PS_11(i)'!K22+'[1]ACP_PS_11(i)'!F22+'[1]ACP_MSME_10'!P22+'[1]ACP_Agri_9(ii)'!P22</f>
        <v>31103</v>
      </c>
      <c r="S22" s="194">
        <f t="shared" si="2"/>
        <v>43.197705159239014</v>
      </c>
      <c r="U22" s="198">
        <f>N22+K22+F22+'ACP_PS_11(i)'!P22+'ACP_PS_11(i)'!K22+'ACP_PS_11(i)'!F22+ACP_MSME_10!P22+'ACP_Agri_9(ii)'!P22</f>
        <v>31103</v>
      </c>
    </row>
    <row r="23" spans="1:21" ht="13.5">
      <c r="A23" s="179">
        <v>18</v>
      </c>
      <c r="B23" s="130" t="s">
        <v>253</v>
      </c>
      <c r="C23" s="204">
        <v>8268</v>
      </c>
      <c r="D23" s="204">
        <v>9485.45</v>
      </c>
      <c r="E23" s="204">
        <v>0</v>
      </c>
      <c r="F23" s="204">
        <v>0</v>
      </c>
      <c r="G23" s="194">
        <f t="shared" si="0"/>
        <v>0</v>
      </c>
      <c r="H23" s="204">
        <v>38</v>
      </c>
      <c r="I23" s="204">
        <v>696.92</v>
      </c>
      <c r="J23" s="204">
        <v>0</v>
      </c>
      <c r="K23" s="204">
        <v>0</v>
      </c>
      <c r="L23" s="194">
        <f t="shared" si="1"/>
        <v>0</v>
      </c>
      <c r="M23" s="204">
        <v>2206</v>
      </c>
      <c r="N23" s="204">
        <v>11662</v>
      </c>
      <c r="O23" s="131">
        <f>H23+C23+'[1]ACP_PS_11(i)'!M23+'[1]ACP_PS_11(i)'!H23+'[1]ACP_PS_11(i)'!C23+'[1]ACP_MSME_10'!C23+'[1]ACP_Agri_9(ii)'!M23</f>
        <v>69559</v>
      </c>
      <c r="P23" s="204">
        <f>I23+D23+'[1]ACP_PS_11(i)'!N23+'[1]ACP_PS_11(i)'!I23+'[1]ACP_PS_11(i)'!D23+'[1]ACP_MSME_10'!D23+'[1]ACP_Agri_9(ii)'!N23</f>
        <v>229293.88</v>
      </c>
      <c r="Q23" s="204">
        <f>M23+J23+E23+'ACP_PS_11(i)'!O23+'ACP_PS_11(i)'!J23+'ACP_PS_11(i)'!E23+ACP_MSME_10!O23+'ACP_Agri_9(ii)'!O23</f>
        <v>5145</v>
      </c>
      <c r="R23" s="204">
        <f>N23+K23+F23+'[1]ACP_PS_11(i)'!P23+'[1]ACP_PS_11(i)'!K23+'[1]ACP_PS_11(i)'!F23+'[1]ACP_MSME_10'!P23+'[1]ACP_Agri_9(ii)'!P23</f>
        <v>27358</v>
      </c>
      <c r="S23" s="194">
        <f t="shared" si="2"/>
        <v>11.931413084378876</v>
      </c>
      <c r="U23" s="198">
        <f>N23+K23+F23+'ACP_PS_11(i)'!P23+'ACP_PS_11(i)'!K23+'ACP_PS_11(i)'!F23+ACP_MSME_10!P23+'ACP_Agri_9(ii)'!P23</f>
        <v>27358</v>
      </c>
    </row>
    <row r="24" spans="1:21" ht="13.5">
      <c r="A24" s="179">
        <v>19</v>
      </c>
      <c r="B24" s="136" t="s">
        <v>68</v>
      </c>
      <c r="C24" s="204">
        <v>6492</v>
      </c>
      <c r="D24" s="204">
        <v>14643.52</v>
      </c>
      <c r="E24" s="204">
        <v>36</v>
      </c>
      <c r="F24" s="204">
        <v>158.77</v>
      </c>
      <c r="G24" s="194">
        <f t="shared" si="0"/>
        <v>1.0842338454142175</v>
      </c>
      <c r="H24" s="204">
        <v>187</v>
      </c>
      <c r="I24" s="204">
        <v>1086.98</v>
      </c>
      <c r="J24" s="204">
        <v>18</v>
      </c>
      <c r="K24" s="204">
        <v>15.86</v>
      </c>
      <c r="L24" s="194">
        <f t="shared" si="1"/>
        <v>1.4590884836887523</v>
      </c>
      <c r="M24" s="204">
        <v>0</v>
      </c>
      <c r="N24" s="204">
        <v>0</v>
      </c>
      <c r="O24" s="131">
        <f>H24+C24+'[1]ACP_PS_11(i)'!M24+'[1]ACP_PS_11(i)'!H24+'[1]ACP_PS_11(i)'!C24+'[1]ACP_MSME_10'!C24+'[1]ACP_Agri_9(ii)'!M24</f>
        <v>126889</v>
      </c>
      <c r="P24" s="204">
        <f>I24+D24+'[1]ACP_PS_11(i)'!N24+'[1]ACP_PS_11(i)'!I24+'[1]ACP_PS_11(i)'!D24+'[1]ACP_MSME_10'!D24+'[1]ACP_Agri_9(ii)'!N24</f>
        <v>320673.15</v>
      </c>
      <c r="Q24" s="204">
        <f>M24+J24+E24+'ACP_PS_11(i)'!O24+'ACP_PS_11(i)'!J24+'ACP_PS_11(i)'!E24+ACP_MSME_10!O24+'ACP_Agri_9(ii)'!O24</f>
        <v>15288</v>
      </c>
      <c r="R24" s="204">
        <f>N24+K24+F24+'[1]ACP_PS_11(i)'!P24+'[1]ACP_PS_11(i)'!K24+'[1]ACP_PS_11(i)'!F24+'[1]ACP_MSME_10'!P24+'[1]ACP_Agri_9(ii)'!P24</f>
        <v>30365.729</v>
      </c>
      <c r="S24" s="194">
        <f t="shared" si="2"/>
        <v>9.46937060368166</v>
      </c>
      <c r="U24" s="198">
        <f>N24+K24+F24+'ACP_PS_11(i)'!P24+'ACP_PS_11(i)'!K24+'ACP_PS_11(i)'!F24+ACP_MSME_10!P24+'ACP_Agri_9(ii)'!P24</f>
        <v>30365.729</v>
      </c>
    </row>
    <row r="25" spans="1:21" ht="13.5">
      <c r="A25" s="179">
        <v>20</v>
      </c>
      <c r="B25" s="203" t="s">
        <v>69</v>
      </c>
      <c r="C25" s="204">
        <v>335</v>
      </c>
      <c r="D25" s="204">
        <v>420.96</v>
      </c>
      <c r="E25" s="204">
        <v>0</v>
      </c>
      <c r="F25" s="204">
        <v>0</v>
      </c>
      <c r="G25" s="194">
        <f t="shared" si="0"/>
        <v>0</v>
      </c>
      <c r="H25" s="204">
        <v>4</v>
      </c>
      <c r="I25" s="204">
        <v>75.98</v>
      </c>
      <c r="J25" s="204">
        <v>0</v>
      </c>
      <c r="K25" s="204">
        <v>0</v>
      </c>
      <c r="L25" s="194">
        <f t="shared" si="1"/>
        <v>0</v>
      </c>
      <c r="M25" s="204">
        <v>0</v>
      </c>
      <c r="N25" s="204">
        <v>0</v>
      </c>
      <c r="O25" s="131">
        <f>H25+C25+'[1]ACP_PS_11(i)'!M25+'[1]ACP_PS_11(i)'!H25+'[1]ACP_PS_11(i)'!C25+'[1]ACP_MSME_10'!C25+'[1]ACP_Agri_9(ii)'!M25</f>
        <v>3060</v>
      </c>
      <c r="P25" s="204">
        <f>I25+D25+'[1]ACP_PS_11(i)'!N25+'[1]ACP_PS_11(i)'!I25+'[1]ACP_PS_11(i)'!D25+'[1]ACP_MSME_10'!D25+'[1]ACP_Agri_9(ii)'!N25</f>
        <v>11216.470000000001</v>
      </c>
      <c r="Q25" s="204">
        <f>M25+J25+E25+'ACP_PS_11(i)'!O25+'ACP_PS_11(i)'!J25+'ACP_PS_11(i)'!E25+ACP_MSME_10!O25+'ACP_Agri_9(ii)'!O25</f>
        <v>1000</v>
      </c>
      <c r="R25" s="204">
        <f>N25+K25+F25+'[1]ACP_PS_11(i)'!P25+'[1]ACP_PS_11(i)'!K25+'[1]ACP_PS_11(i)'!F25+'[1]ACP_MSME_10'!P25+'[1]ACP_Agri_9(ii)'!P25</f>
        <v>6529</v>
      </c>
      <c r="S25" s="194">
        <f t="shared" si="2"/>
        <v>58.20904437848984</v>
      </c>
      <c r="U25" s="198">
        <f>N25+K25+F25+'ACP_PS_11(i)'!P25+'ACP_PS_11(i)'!K25+'ACP_PS_11(i)'!F25+ACP_MSME_10!P25+'ACP_Agri_9(ii)'!P25</f>
        <v>6529</v>
      </c>
    </row>
    <row r="26" spans="1:21" ht="13.5">
      <c r="A26" s="179">
        <v>21</v>
      </c>
      <c r="B26" s="203" t="s">
        <v>52</v>
      </c>
      <c r="C26" s="204">
        <v>1122</v>
      </c>
      <c r="D26" s="204">
        <v>1889.24</v>
      </c>
      <c r="E26" s="204">
        <v>0</v>
      </c>
      <c r="F26" s="204">
        <v>0</v>
      </c>
      <c r="G26" s="194">
        <f t="shared" si="0"/>
        <v>0</v>
      </c>
      <c r="H26" s="204">
        <v>8</v>
      </c>
      <c r="I26" s="204">
        <v>131.04</v>
      </c>
      <c r="J26" s="204">
        <v>0</v>
      </c>
      <c r="K26" s="204">
        <v>0</v>
      </c>
      <c r="L26" s="194">
        <f t="shared" si="1"/>
        <v>0</v>
      </c>
      <c r="M26" s="204">
        <v>125</v>
      </c>
      <c r="N26" s="204">
        <v>68.59</v>
      </c>
      <c r="O26" s="131">
        <f>H26+C26+'[1]ACP_PS_11(i)'!M26+'[1]ACP_PS_11(i)'!H26+'[1]ACP_PS_11(i)'!C26+'[1]ACP_MSME_10'!C26+'[1]ACP_Agri_9(ii)'!M26</f>
        <v>8087</v>
      </c>
      <c r="P26" s="204">
        <f>I26+D26+'[1]ACP_PS_11(i)'!N26+'[1]ACP_PS_11(i)'!I26+'[1]ACP_PS_11(i)'!D26+'[1]ACP_MSME_10'!D26+'[1]ACP_Agri_9(ii)'!N26</f>
        <v>26438.809999999998</v>
      </c>
      <c r="Q26" s="204">
        <f>M26+J26+E26+'ACP_PS_11(i)'!O26+'ACP_PS_11(i)'!J26+'ACP_PS_11(i)'!E26+ACP_MSME_10!O26+'ACP_Agri_9(ii)'!O26</f>
        <v>2199</v>
      </c>
      <c r="R26" s="204">
        <f>N26+K26+F26+'[1]ACP_PS_11(i)'!P26+'[1]ACP_PS_11(i)'!K26+'[1]ACP_PS_11(i)'!F26+'[1]ACP_MSME_10'!P26+'[1]ACP_Agri_9(ii)'!P26</f>
        <v>4233.17</v>
      </c>
      <c r="S26" s="194">
        <f t="shared" si="2"/>
        <v>16.011197175667135</v>
      </c>
      <c r="U26" s="198">
        <f>N26+K26+F26+'ACP_PS_11(i)'!P26+'ACP_PS_11(i)'!K26+'ACP_PS_11(i)'!F26+ACP_MSME_10!P26+'ACP_Agri_9(ii)'!P26</f>
        <v>4233.17</v>
      </c>
    </row>
    <row r="27" spans="1:21" s="195" customFormat="1" ht="13.5">
      <c r="A27" s="182"/>
      <c r="B27" s="206" t="s">
        <v>293</v>
      </c>
      <c r="C27" s="207">
        <f>SUM(C6:C26)</f>
        <v>99158</v>
      </c>
      <c r="D27" s="207">
        <f aca="true" t="shared" si="3" ref="D27:R27">SUM(D6:D26)</f>
        <v>177527.40999999997</v>
      </c>
      <c r="E27" s="207">
        <f t="shared" si="3"/>
        <v>46</v>
      </c>
      <c r="F27" s="207">
        <f t="shared" si="3"/>
        <v>216.07</v>
      </c>
      <c r="G27" s="181">
        <f t="shared" si="0"/>
        <v>0.12171078257718064</v>
      </c>
      <c r="H27" s="207">
        <f t="shared" si="3"/>
        <v>2373</v>
      </c>
      <c r="I27" s="207">
        <f t="shared" si="3"/>
        <v>12444.521800000002</v>
      </c>
      <c r="J27" s="207">
        <f t="shared" si="3"/>
        <v>19</v>
      </c>
      <c r="K27" s="207">
        <f t="shared" si="3"/>
        <v>20.61</v>
      </c>
      <c r="L27" s="181">
        <f t="shared" si="1"/>
        <v>0.16561504195364096</v>
      </c>
      <c r="M27" s="207">
        <f t="shared" si="3"/>
        <v>20151</v>
      </c>
      <c r="N27" s="207">
        <f t="shared" si="3"/>
        <v>47897.219999999994</v>
      </c>
      <c r="O27" s="138">
        <f t="shared" si="3"/>
        <v>1208738</v>
      </c>
      <c r="P27" s="207">
        <f t="shared" si="3"/>
        <v>3915394.6718</v>
      </c>
      <c r="Q27" s="207">
        <f>M27+J27+E27+'ACP_PS_11(i)'!O27+'ACP_PS_11(i)'!J27+'ACP_PS_11(i)'!E27+ACP_MSME_10!O27+'ACP_Agri_9(ii)'!O27</f>
        <v>581574</v>
      </c>
      <c r="R27" s="207" t="e">
        <f t="shared" si="3"/>
        <v>#REF!</v>
      </c>
      <c r="S27" s="181" t="e">
        <f t="shared" si="2"/>
        <v>#REF!</v>
      </c>
      <c r="U27" s="198">
        <f>N27+K27+F27+'ACP_PS_11(i)'!P27+'ACP_PS_11(i)'!K27+'ACP_PS_11(i)'!F27+ACP_MSME_10!P27+'ACP_Agri_9(ii)'!P27</f>
        <v>1306012.6174413997</v>
      </c>
    </row>
    <row r="28" spans="1:21" ht="13.5">
      <c r="A28" s="179">
        <v>22</v>
      </c>
      <c r="B28" s="203" t="s">
        <v>294</v>
      </c>
      <c r="C28" s="204">
        <v>708</v>
      </c>
      <c r="D28" s="204">
        <v>1553.8</v>
      </c>
      <c r="E28" s="204"/>
      <c r="F28" s="204"/>
      <c r="G28" s="194">
        <f t="shared" si="0"/>
        <v>0</v>
      </c>
      <c r="H28" s="204">
        <v>4</v>
      </c>
      <c r="I28" s="204">
        <v>66.92</v>
      </c>
      <c r="J28" s="204"/>
      <c r="K28" s="204"/>
      <c r="L28" s="194">
        <f t="shared" si="1"/>
        <v>0</v>
      </c>
      <c r="M28" s="204"/>
      <c r="N28" s="204"/>
      <c r="O28" s="131">
        <f>H28+C28+'[1]ACP_PS_11(i)'!M28+'[1]ACP_PS_11(i)'!H28+'[1]ACP_PS_11(i)'!C28+'[1]ACP_MSME_10'!C28+'[1]ACP_Agri_9(ii)'!M28</f>
        <v>1524</v>
      </c>
      <c r="P28" s="204">
        <f>I28+D28+'[1]ACP_PS_11(i)'!N28+'[1]ACP_PS_11(i)'!I28+'[1]ACP_PS_11(i)'!D28+'[1]ACP_MSME_10'!D28+'[1]ACP_Agri_9(ii)'!N28</f>
        <v>5396.799999999999</v>
      </c>
      <c r="Q28" s="204">
        <f>M28+J28+E28+'ACP_PS_11(i)'!O28+'ACP_PS_11(i)'!J28+'ACP_PS_11(i)'!E28+ACP_MSME_10!O28+'ACP_Agri_9(ii)'!O28</f>
        <v>17</v>
      </c>
      <c r="R28" s="204">
        <f>N28+K28+F28+'[1]ACP_PS_11(i)'!P28+'[1]ACP_PS_11(i)'!K28+'[1]ACP_PS_11(i)'!F28+'[1]ACP_MSME_10'!P28+'[1]ACP_Agri_9(ii)'!P28</f>
        <v>69</v>
      </c>
      <c r="S28" s="194">
        <f t="shared" si="2"/>
        <v>1.2785354284020163</v>
      </c>
      <c r="U28" s="198">
        <f>N28+K28+F28+'ACP_PS_11(i)'!P28+'ACP_PS_11(i)'!K28+'ACP_PS_11(i)'!F28+ACP_MSME_10!P28+'ACP_Agri_9(ii)'!P28</f>
        <v>69</v>
      </c>
    </row>
    <row r="29" spans="1:21" ht="13.5">
      <c r="A29" s="179">
        <v>23</v>
      </c>
      <c r="B29" s="203" t="s">
        <v>295</v>
      </c>
      <c r="C29" s="204">
        <v>82</v>
      </c>
      <c r="D29" s="204">
        <v>223.42</v>
      </c>
      <c r="E29" s="204">
        <v>0</v>
      </c>
      <c r="F29" s="204">
        <v>0</v>
      </c>
      <c r="G29" s="194">
        <f t="shared" si="0"/>
        <v>0</v>
      </c>
      <c r="H29" s="204">
        <v>2</v>
      </c>
      <c r="I29" s="204">
        <v>36.76</v>
      </c>
      <c r="J29" s="204">
        <v>0</v>
      </c>
      <c r="K29" s="204">
        <v>0</v>
      </c>
      <c r="L29" s="194">
        <f t="shared" si="1"/>
        <v>0</v>
      </c>
      <c r="M29" s="204">
        <v>0</v>
      </c>
      <c r="N29" s="204">
        <v>0</v>
      </c>
      <c r="O29" s="131">
        <f>H29+C29+'[1]ACP_PS_11(i)'!M29+'[1]ACP_PS_11(i)'!H29+'[1]ACP_PS_11(i)'!C29+'[1]ACP_MSME_10'!C29+'[1]ACP_Agri_9(ii)'!M29</f>
        <v>635</v>
      </c>
      <c r="P29" s="204">
        <f>I29+D29+'[1]ACP_PS_11(i)'!N29+'[1]ACP_PS_11(i)'!I29+'[1]ACP_PS_11(i)'!D29+'[1]ACP_MSME_10'!D29+'[1]ACP_Agri_9(ii)'!N29</f>
        <v>2746.5099999999998</v>
      </c>
      <c r="Q29" s="204">
        <f>M29+J29+E29+'ACP_PS_11(i)'!O29+'ACP_PS_11(i)'!J29+'ACP_PS_11(i)'!E29+ACP_MSME_10!O29+'ACP_Agri_9(ii)'!O29</f>
        <v>3</v>
      </c>
      <c r="R29" s="204">
        <f>N29+K29+F29+'[1]ACP_PS_11(i)'!P29+'[1]ACP_PS_11(i)'!K29+'[1]ACP_PS_11(i)'!F29+'[1]ACP_MSME_10'!P29+'[1]ACP_Agri_9(ii)'!P29</f>
        <v>34</v>
      </c>
      <c r="S29" s="194">
        <f t="shared" si="2"/>
        <v>1.2379346880222537</v>
      </c>
      <c r="U29" s="198">
        <f>N29+K29+F29+'ACP_PS_11(i)'!P29+'ACP_PS_11(i)'!K29+'ACP_PS_11(i)'!F29+ACP_MSME_10!P29+'ACP_Agri_9(ii)'!P29</f>
        <v>34</v>
      </c>
    </row>
    <row r="30" spans="1:21" ht="13.5">
      <c r="A30" s="179">
        <v>24</v>
      </c>
      <c r="B30" s="203" t="s">
        <v>296</v>
      </c>
      <c r="C30" s="204">
        <v>357</v>
      </c>
      <c r="D30" s="204">
        <v>556.84</v>
      </c>
      <c r="E30" s="204">
        <v>0</v>
      </c>
      <c r="F30" s="204">
        <v>0</v>
      </c>
      <c r="G30" s="194">
        <f t="shared" si="0"/>
        <v>0</v>
      </c>
      <c r="H30" s="204">
        <v>4</v>
      </c>
      <c r="I30" s="204">
        <v>86.45</v>
      </c>
      <c r="J30" s="204">
        <v>0</v>
      </c>
      <c r="K30" s="204">
        <v>0</v>
      </c>
      <c r="L30" s="194">
        <f t="shared" si="1"/>
        <v>0</v>
      </c>
      <c r="M30" s="204">
        <v>10</v>
      </c>
      <c r="N30" s="204">
        <v>64.25</v>
      </c>
      <c r="O30" s="131">
        <f>H30+C30+'[1]ACP_PS_11(i)'!M30+'[1]ACP_PS_11(i)'!H30+'[1]ACP_PS_11(i)'!C30+'[1]ACP_MSME_10'!C30+'[1]ACP_Agri_9(ii)'!M30</f>
        <v>2112</v>
      </c>
      <c r="P30" s="204">
        <f>I30+D30+'[1]ACP_PS_11(i)'!N30+'[1]ACP_PS_11(i)'!I30+'[1]ACP_PS_11(i)'!D30+'[1]ACP_MSME_10'!D30+'[1]ACP_Agri_9(ii)'!N30</f>
        <v>7616.269999999999</v>
      </c>
      <c r="Q30" s="204">
        <f>M30+J30+E30+'ACP_PS_11(i)'!O30+'ACP_PS_11(i)'!J30+'ACP_PS_11(i)'!E30+ACP_MSME_10!O30+'ACP_Agri_9(ii)'!O30</f>
        <v>20</v>
      </c>
      <c r="R30" s="204">
        <f>N30+K30+F30+'[1]ACP_PS_11(i)'!P30+'[1]ACP_PS_11(i)'!K30+'[1]ACP_PS_11(i)'!F30+'[1]ACP_MSME_10'!P30+'[1]ACP_Agri_9(ii)'!P30</f>
        <v>128.5</v>
      </c>
      <c r="S30" s="194">
        <f t="shared" si="2"/>
        <v>1.6871775816771204</v>
      </c>
      <c r="U30" s="198">
        <f>N30+K30+F30+'ACP_PS_11(i)'!P30+'ACP_PS_11(i)'!K30+'ACP_PS_11(i)'!F30+ACP_MSME_10!P30+'ACP_Agri_9(ii)'!P30</f>
        <v>128.5</v>
      </c>
    </row>
    <row r="31" spans="1:21" ht="13.5">
      <c r="A31" s="179">
        <v>25</v>
      </c>
      <c r="B31" s="205" t="s">
        <v>297</v>
      </c>
      <c r="C31" s="204">
        <v>111</v>
      </c>
      <c r="D31" s="204">
        <v>268.66</v>
      </c>
      <c r="E31" s="204">
        <v>0</v>
      </c>
      <c r="F31" s="204">
        <v>0</v>
      </c>
      <c r="G31" s="194">
        <f t="shared" si="0"/>
        <v>0</v>
      </c>
      <c r="H31" s="204">
        <v>3</v>
      </c>
      <c r="I31" s="204">
        <v>54.56</v>
      </c>
      <c r="J31" s="204">
        <v>0</v>
      </c>
      <c r="K31" s="204">
        <v>0</v>
      </c>
      <c r="L31" s="194">
        <f t="shared" si="1"/>
        <v>0</v>
      </c>
      <c r="M31" s="204">
        <v>0</v>
      </c>
      <c r="N31" s="204">
        <v>0</v>
      </c>
      <c r="O31" s="131">
        <f>H31+C31+'[1]ACP_PS_11(i)'!M31+'[1]ACP_PS_11(i)'!H31+'[1]ACP_PS_11(i)'!C31+'[1]ACP_MSME_10'!C31+'[1]ACP_Agri_9(ii)'!M31</f>
        <v>3579</v>
      </c>
      <c r="P31" s="204">
        <f>I31+D31+'[1]ACP_PS_11(i)'!N31+'[1]ACP_PS_11(i)'!I31+'[1]ACP_PS_11(i)'!D31+'[1]ACP_MSME_10'!D31+'[1]ACP_Agri_9(ii)'!N31</f>
        <v>18455.989999999998</v>
      </c>
      <c r="Q31" s="204">
        <f>M31+J31+E31+'ACP_PS_11(i)'!O31+'ACP_PS_11(i)'!J31+'ACP_PS_11(i)'!E31+ACP_MSME_10!O31+'ACP_Agri_9(ii)'!O31</f>
        <v>4</v>
      </c>
      <c r="R31" s="204">
        <f>N31+K31+F31+'[1]ACP_PS_11(i)'!P31+'[1]ACP_PS_11(i)'!K31+'[1]ACP_PS_11(i)'!F31+'[1]ACP_MSME_10'!P31+'[1]ACP_Agri_9(ii)'!P31</f>
        <v>47</v>
      </c>
      <c r="S31" s="194">
        <f t="shared" si="2"/>
        <v>0.25465986923486633</v>
      </c>
      <c r="U31" s="198">
        <f>N31+K31+F31+'ACP_PS_11(i)'!P31+'ACP_PS_11(i)'!K31+'ACP_PS_11(i)'!F31+ACP_MSME_10!P31+'ACP_Agri_9(ii)'!P31</f>
        <v>47</v>
      </c>
    </row>
    <row r="32" spans="1:21" ht="13.5">
      <c r="A32" s="179">
        <v>26</v>
      </c>
      <c r="B32" s="203" t="s">
        <v>298</v>
      </c>
      <c r="C32" s="204">
        <v>430</v>
      </c>
      <c r="D32" s="204">
        <v>778.22</v>
      </c>
      <c r="E32" s="204"/>
      <c r="F32" s="204"/>
      <c r="G32" s="194">
        <f t="shared" si="0"/>
        <v>0</v>
      </c>
      <c r="H32" s="204">
        <v>6</v>
      </c>
      <c r="I32" s="204">
        <v>106.17</v>
      </c>
      <c r="J32" s="204"/>
      <c r="K32" s="204"/>
      <c r="L32" s="194">
        <f t="shared" si="1"/>
        <v>0</v>
      </c>
      <c r="M32" s="204"/>
      <c r="N32" s="204"/>
      <c r="O32" s="131">
        <f>H32+C32+'[1]ACP_PS_11(i)'!M32+'[1]ACP_PS_11(i)'!H32+'[1]ACP_PS_11(i)'!C32+'[1]ACP_MSME_10'!C32+'[1]ACP_Agri_9(ii)'!M32</f>
        <v>2950</v>
      </c>
      <c r="P32" s="204">
        <f>I32+D32+'[1]ACP_PS_11(i)'!N32+'[1]ACP_PS_11(i)'!I32+'[1]ACP_PS_11(i)'!D32+'[1]ACP_MSME_10'!D32+'[1]ACP_Agri_9(ii)'!N32</f>
        <v>11190.98</v>
      </c>
      <c r="Q32" s="204">
        <f>M32+J32+E32+'ACP_PS_11(i)'!O32+'ACP_PS_11(i)'!J32+'ACP_PS_11(i)'!E32+ACP_MSME_10!O32+'ACP_Agri_9(ii)'!O32</f>
        <v>299</v>
      </c>
      <c r="R32" s="204">
        <f>N32+K32+F32+'[1]ACP_PS_11(i)'!P32+'[1]ACP_PS_11(i)'!K32+'[1]ACP_PS_11(i)'!F32+'[1]ACP_MSME_10'!P32+'[1]ACP_Agri_9(ii)'!P32</f>
        <v>707.86</v>
      </c>
      <c r="S32" s="194">
        <f t="shared" si="2"/>
        <v>6.325272674957868</v>
      </c>
      <c r="U32" s="198">
        <f>N32+K32+F32+'ACP_PS_11(i)'!P32+'ACP_PS_11(i)'!K32+'ACP_PS_11(i)'!F32+ACP_MSME_10!P32+'ACP_Agri_9(ii)'!P32</f>
        <v>707.86</v>
      </c>
    </row>
    <row r="33" spans="1:21" ht="13.5">
      <c r="A33" s="179">
        <v>27</v>
      </c>
      <c r="B33" s="203" t="s">
        <v>72</v>
      </c>
      <c r="C33" s="204">
        <v>72584</v>
      </c>
      <c r="D33" s="204">
        <v>136647.24</v>
      </c>
      <c r="E33" s="204">
        <v>20</v>
      </c>
      <c r="F33" s="204">
        <v>842</v>
      </c>
      <c r="G33" s="194">
        <f t="shared" si="0"/>
        <v>0.6161851494402668</v>
      </c>
      <c r="H33" s="204">
        <v>1599</v>
      </c>
      <c r="I33" s="204">
        <v>9086.63</v>
      </c>
      <c r="J33" s="204">
        <v>0</v>
      </c>
      <c r="K33" s="204">
        <v>0</v>
      </c>
      <c r="L33" s="194">
        <f t="shared" si="1"/>
        <v>0</v>
      </c>
      <c r="M33" s="204"/>
      <c r="N33" s="204">
        <v>0</v>
      </c>
      <c r="O33" s="131">
        <f>H33+C33+'[1]ACP_PS_11(i)'!M33+'[1]ACP_PS_11(i)'!H33+'[1]ACP_PS_11(i)'!C33+'[1]ACP_MSME_10'!C33+'[1]ACP_Agri_9(ii)'!M33</f>
        <v>860328</v>
      </c>
      <c r="P33" s="204">
        <f>I33+D33+'[1]ACP_PS_11(i)'!N33+'[1]ACP_PS_11(i)'!I33+'[1]ACP_PS_11(i)'!D33+'[1]ACP_MSME_10'!D33+'[1]ACP_Agri_9(ii)'!N33</f>
        <v>2816295.7399999998</v>
      </c>
      <c r="Q33" s="204">
        <f>M33+J33+E33+'ACP_PS_11(i)'!O33+'ACP_PS_11(i)'!J33+'ACP_PS_11(i)'!E33+ACP_MSME_10!O33+'ACP_Agri_9(ii)'!O33</f>
        <v>154794</v>
      </c>
      <c r="R33" s="204">
        <f>N33+K33+F33+'[1]ACP_PS_11(i)'!P33+'[1]ACP_PS_11(i)'!K33+'[1]ACP_PS_11(i)'!F33+'[1]ACP_MSME_10'!P33+'[1]ACP_Agri_9(ii)'!P33</f>
        <v>381500</v>
      </c>
      <c r="S33" s="194">
        <f t="shared" si="2"/>
        <v>13.546162591574989</v>
      </c>
      <c r="U33" s="198">
        <f>N33+K33+F33+'ACP_PS_11(i)'!P33+'ACP_PS_11(i)'!K33+'ACP_PS_11(i)'!F33+ACP_MSME_10!P33+'ACP_Agri_9(ii)'!P33</f>
        <v>381500</v>
      </c>
    </row>
    <row r="34" spans="1:21" s="195" customFormat="1" ht="13.5">
      <c r="A34" s="182"/>
      <c r="B34" s="206" t="s">
        <v>299</v>
      </c>
      <c r="C34" s="207">
        <f>SUM(C28:C33)</f>
        <v>74272</v>
      </c>
      <c r="D34" s="207">
        <f aca="true" t="shared" si="4" ref="D34:R34">SUM(D28:D33)</f>
        <v>140028.18</v>
      </c>
      <c r="E34" s="207">
        <f t="shared" si="4"/>
        <v>20</v>
      </c>
      <c r="F34" s="207">
        <f t="shared" si="4"/>
        <v>842</v>
      </c>
      <c r="G34" s="181">
        <f t="shared" si="0"/>
        <v>0.6013075368115189</v>
      </c>
      <c r="H34" s="207">
        <f t="shared" si="4"/>
        <v>1618</v>
      </c>
      <c r="I34" s="207">
        <f t="shared" si="4"/>
        <v>9437.49</v>
      </c>
      <c r="J34" s="207">
        <f t="shared" si="4"/>
        <v>0</v>
      </c>
      <c r="K34" s="207">
        <f t="shared" si="4"/>
        <v>0</v>
      </c>
      <c r="L34" s="181">
        <f t="shared" si="1"/>
        <v>0</v>
      </c>
      <c r="M34" s="207">
        <f t="shared" si="4"/>
        <v>10</v>
      </c>
      <c r="N34" s="207">
        <f t="shared" si="4"/>
        <v>64.25</v>
      </c>
      <c r="O34" s="138">
        <f t="shared" si="4"/>
        <v>871128</v>
      </c>
      <c r="P34" s="207">
        <f t="shared" si="4"/>
        <v>2861702.2899999996</v>
      </c>
      <c r="Q34" s="207">
        <f>M34+J34+E34+'ACP_PS_11(i)'!O34+'ACP_PS_11(i)'!J34+'ACP_PS_11(i)'!E34+ACP_MSME_10!O34+'ACP_Agri_9(ii)'!O34</f>
        <v>155137</v>
      </c>
      <c r="R34" s="207">
        <f t="shared" si="4"/>
        <v>382486.36</v>
      </c>
      <c r="S34" s="181">
        <f t="shared" si="2"/>
        <v>13.365693606094855</v>
      </c>
      <c r="U34" s="198">
        <f>N34+K34+F34+'ACP_PS_11(i)'!P34+'ACP_PS_11(i)'!K34+'ACP_PS_11(i)'!F34+ACP_MSME_10!P34+'ACP_Agri_9(ii)'!P34</f>
        <v>382486.36</v>
      </c>
    </row>
    <row r="35" spans="1:21" ht="13.5">
      <c r="A35" s="179">
        <v>28</v>
      </c>
      <c r="B35" s="203" t="s">
        <v>49</v>
      </c>
      <c r="C35" s="204">
        <v>2740</v>
      </c>
      <c r="D35" s="204">
        <v>6120.16</v>
      </c>
      <c r="E35" s="204">
        <v>0</v>
      </c>
      <c r="F35" s="204">
        <v>0</v>
      </c>
      <c r="G35" s="194">
        <f t="shared" si="0"/>
        <v>0</v>
      </c>
      <c r="H35" s="204">
        <v>22</v>
      </c>
      <c r="I35" s="204">
        <v>449.22</v>
      </c>
      <c r="J35" s="204">
        <v>0</v>
      </c>
      <c r="K35" s="204">
        <v>0</v>
      </c>
      <c r="L35" s="194">
        <f t="shared" si="1"/>
        <v>0</v>
      </c>
      <c r="M35" s="204">
        <v>48673</v>
      </c>
      <c r="N35" s="204">
        <v>7114.48</v>
      </c>
      <c r="O35" s="131">
        <f>H35+C35+'[1]ACP_PS_11(i)'!M35+'[1]ACP_PS_11(i)'!H35+'[1]ACP_PS_11(i)'!C35+'[1]ACP_MSME_10'!C35+'[1]ACP_Agri_9(ii)'!M35</f>
        <v>40040</v>
      </c>
      <c r="P35" s="204">
        <f>I35+D35+'[1]ACP_PS_11(i)'!N35+'[1]ACP_PS_11(i)'!I35+'[1]ACP_PS_11(i)'!D35+'[1]ACP_MSME_10'!D35+'[1]ACP_Agri_9(ii)'!N35</f>
        <v>139088.12</v>
      </c>
      <c r="Q35" s="204">
        <f>M35+J35+E35+'ACP_PS_11(i)'!O35+'ACP_PS_11(i)'!J35+'ACP_PS_11(i)'!E35+ACP_MSME_10!O35+'ACP_Agri_9(ii)'!O35</f>
        <v>63844</v>
      </c>
      <c r="R35" s="204">
        <f>N35+K35+F35+'[1]ACP_PS_11(i)'!P35+'[1]ACP_PS_11(i)'!K35+'[1]ACP_PS_11(i)'!F35+'[1]ACP_MSME_10'!P35+'[1]ACP_Agri_9(ii)'!P35</f>
        <v>30791.09</v>
      </c>
      <c r="S35" s="194">
        <f t="shared" si="2"/>
        <v>22.137828881431428</v>
      </c>
      <c r="U35" s="198">
        <f>N35+K35+F35+'ACP_PS_11(i)'!P35+'ACP_PS_11(i)'!K35+'ACP_PS_11(i)'!F35+ACP_MSME_10!P35+'ACP_Agri_9(ii)'!P35</f>
        <v>30791.089999999997</v>
      </c>
    </row>
    <row r="36" spans="1:21" ht="13.5">
      <c r="A36" s="179">
        <v>29</v>
      </c>
      <c r="B36" s="180" t="s">
        <v>53</v>
      </c>
      <c r="C36" s="204">
        <v>14</v>
      </c>
      <c r="D36" s="204">
        <v>37.88</v>
      </c>
      <c r="E36" s="204">
        <v>0</v>
      </c>
      <c r="F36" s="204">
        <v>0</v>
      </c>
      <c r="G36" s="194">
        <f t="shared" si="0"/>
        <v>0</v>
      </c>
      <c r="H36" s="204">
        <v>4</v>
      </c>
      <c r="I36" s="204">
        <v>3.38</v>
      </c>
      <c r="J36" s="204">
        <v>0</v>
      </c>
      <c r="K36" s="204">
        <v>0</v>
      </c>
      <c r="L36" s="194">
        <f t="shared" si="1"/>
        <v>0</v>
      </c>
      <c r="M36" s="204">
        <v>0</v>
      </c>
      <c r="N36" s="204">
        <v>0</v>
      </c>
      <c r="O36" s="131">
        <f>H36+C36+'[1]ACP_PS_11(i)'!M36+'[1]ACP_PS_11(i)'!H36+'[1]ACP_PS_11(i)'!C36+'[1]ACP_MSME_10'!C36+'[1]ACP_Agri_9(ii)'!M36</f>
        <v>204</v>
      </c>
      <c r="P36" s="204">
        <f>I36+D36+'[1]ACP_PS_11(i)'!N36+'[1]ACP_PS_11(i)'!I36+'[1]ACP_PS_11(i)'!D36+'[1]ACP_MSME_10'!D36+'[1]ACP_Agri_9(ii)'!N36</f>
        <v>1030.23</v>
      </c>
      <c r="Q36" s="204">
        <f>M36+J36+E36+'ACP_PS_11(i)'!O36+'ACP_PS_11(i)'!J36+'ACP_PS_11(i)'!E36+ACP_MSME_10!O36+'ACP_Agri_9(ii)'!O36</f>
        <v>4</v>
      </c>
      <c r="R36" s="204">
        <f>N36+K36+F36+'[1]ACP_PS_11(i)'!P36+'[1]ACP_PS_11(i)'!K36+'[1]ACP_PS_11(i)'!F36+'[1]ACP_MSME_10'!P36+'[1]ACP_Agri_9(ii)'!P36</f>
        <v>79.74332</v>
      </c>
      <c r="S36" s="194">
        <f t="shared" si="2"/>
        <v>7.740341477145879</v>
      </c>
      <c r="U36" s="198">
        <f>N36+K36+F36+'ACP_PS_11(i)'!P36+'ACP_PS_11(i)'!K36+'ACP_PS_11(i)'!F36+ACP_MSME_10!P36+'ACP_Agri_9(ii)'!P36</f>
        <v>79.74332</v>
      </c>
    </row>
    <row r="37" spans="1:21" ht="13.5">
      <c r="A37" s="179">
        <v>30</v>
      </c>
      <c r="B37" s="180" t="s">
        <v>300</v>
      </c>
      <c r="C37" s="204">
        <v>38</v>
      </c>
      <c r="D37" s="204">
        <v>258.98</v>
      </c>
      <c r="E37" s="204"/>
      <c r="F37" s="204"/>
      <c r="G37" s="194">
        <f t="shared" si="0"/>
        <v>0</v>
      </c>
      <c r="H37" s="204">
        <v>2</v>
      </c>
      <c r="I37" s="204">
        <v>1.8</v>
      </c>
      <c r="J37" s="204"/>
      <c r="K37" s="204"/>
      <c r="L37" s="194">
        <f t="shared" si="1"/>
        <v>0</v>
      </c>
      <c r="M37" s="204"/>
      <c r="N37" s="204"/>
      <c r="O37" s="131">
        <f>H37+C37+'[1]ACP_PS_11(i)'!M37+'[1]ACP_PS_11(i)'!H37+'[1]ACP_PS_11(i)'!C37+'[1]ACP_MSME_10'!C37+'[1]ACP_Agri_9(ii)'!M37</f>
        <v>497</v>
      </c>
      <c r="P37" s="204">
        <f>I37+D37+'[1]ACP_PS_11(i)'!N37+'[1]ACP_PS_11(i)'!I37+'[1]ACP_PS_11(i)'!D37+'[1]ACP_MSME_10'!D37+'[1]ACP_Agri_9(ii)'!N37</f>
        <v>1497.3600000000001</v>
      </c>
      <c r="Q37" s="204">
        <f>M37+J37+E37+'ACP_PS_11(i)'!O37+'ACP_PS_11(i)'!J37+'ACP_PS_11(i)'!E37+ACP_MSME_10!O37+'ACP_Agri_9(ii)'!O37</f>
        <v>0</v>
      </c>
      <c r="R37" s="204">
        <f>N37+K37+F37+'[1]ACP_PS_11(i)'!P37+'[1]ACP_PS_11(i)'!K37+'[1]ACP_PS_11(i)'!F37+'[1]ACP_MSME_10'!P37+'[1]ACP_Agri_9(ii)'!P37</f>
        <v>0</v>
      </c>
      <c r="S37" s="194">
        <f t="shared" si="2"/>
        <v>0</v>
      </c>
      <c r="U37" s="198">
        <f>N37+K37+F37+'ACP_PS_11(i)'!P37+'ACP_PS_11(i)'!K37+'ACP_PS_11(i)'!F37+ACP_MSME_10!P37+'ACP_Agri_9(ii)'!P37</f>
        <v>0</v>
      </c>
    </row>
    <row r="38" spans="1:21" ht="13.5">
      <c r="A38" s="179">
        <v>31</v>
      </c>
      <c r="B38" s="203" t="s">
        <v>301</v>
      </c>
      <c r="C38" s="204">
        <v>41</v>
      </c>
      <c r="D38" s="204">
        <v>98.08</v>
      </c>
      <c r="E38" s="204">
        <v>0</v>
      </c>
      <c r="F38" s="204">
        <v>0</v>
      </c>
      <c r="G38" s="194">
        <f t="shared" si="0"/>
        <v>0</v>
      </c>
      <c r="H38" s="204">
        <v>1</v>
      </c>
      <c r="I38" s="204">
        <v>2.5</v>
      </c>
      <c r="J38" s="204">
        <v>0</v>
      </c>
      <c r="K38" s="204">
        <v>0</v>
      </c>
      <c r="L38" s="194">
        <f t="shared" si="1"/>
        <v>0</v>
      </c>
      <c r="M38" s="204">
        <v>0</v>
      </c>
      <c r="N38" s="204">
        <v>0</v>
      </c>
      <c r="O38" s="131">
        <f>H38+C38+'[1]ACP_PS_11(i)'!M38+'[1]ACP_PS_11(i)'!H38+'[1]ACP_PS_11(i)'!C38+'[1]ACP_MSME_10'!C38+'[1]ACP_Agri_9(ii)'!M38</f>
        <v>340</v>
      </c>
      <c r="P38" s="204">
        <f>I38+D38+'[1]ACP_PS_11(i)'!N38+'[1]ACP_PS_11(i)'!I38+'[1]ACP_PS_11(i)'!D38+'[1]ACP_MSME_10'!D38+'[1]ACP_Agri_9(ii)'!N38</f>
        <v>1337.5700000000002</v>
      </c>
      <c r="Q38" s="204">
        <f>M38+J38+E38+'ACP_PS_11(i)'!O38+'ACP_PS_11(i)'!J38+'ACP_PS_11(i)'!E38+ACP_MSME_10!O38+'ACP_Agri_9(ii)'!O38</f>
        <v>0</v>
      </c>
      <c r="R38" s="204">
        <f>N38+K38+F38+'[1]ACP_PS_11(i)'!P38+'[1]ACP_PS_11(i)'!K38+'[1]ACP_PS_11(i)'!F38+'[1]ACP_MSME_10'!P38+'[1]ACP_Agri_9(ii)'!P38</f>
        <v>0</v>
      </c>
      <c r="S38" s="194">
        <f t="shared" si="2"/>
        <v>0</v>
      </c>
      <c r="U38" s="198">
        <f>N38+K38+F38+'ACP_PS_11(i)'!P38+'ACP_PS_11(i)'!K38+'ACP_PS_11(i)'!F38+ACP_MSME_10!P38+'ACP_Agri_9(ii)'!P38</f>
        <v>0</v>
      </c>
    </row>
    <row r="39" spans="1:21" ht="13.5">
      <c r="A39" s="179">
        <v>32</v>
      </c>
      <c r="B39" s="203" t="s">
        <v>302</v>
      </c>
      <c r="C39" s="204">
        <v>107</v>
      </c>
      <c r="D39" s="204">
        <v>304.44</v>
      </c>
      <c r="E39" s="204">
        <v>0</v>
      </c>
      <c r="F39" s="204">
        <v>0</v>
      </c>
      <c r="G39" s="194">
        <f t="shared" si="0"/>
        <v>0</v>
      </c>
      <c r="H39" s="204">
        <v>4</v>
      </c>
      <c r="I39" s="204">
        <v>5.4</v>
      </c>
      <c r="J39" s="204">
        <v>0</v>
      </c>
      <c r="K39" s="204">
        <v>0</v>
      </c>
      <c r="L39" s="194">
        <f t="shared" si="1"/>
        <v>0</v>
      </c>
      <c r="M39" s="204">
        <v>5</v>
      </c>
      <c r="N39" s="204">
        <v>2.15</v>
      </c>
      <c r="O39" s="131">
        <f>H39+C39+'[1]ACP_PS_11(i)'!M39+'[1]ACP_PS_11(i)'!H39+'[1]ACP_PS_11(i)'!C39+'[1]ACP_MSME_10'!C39+'[1]ACP_Agri_9(ii)'!M39</f>
        <v>1734</v>
      </c>
      <c r="P39" s="204">
        <f>I39+D39+'[1]ACP_PS_11(i)'!N39+'[1]ACP_PS_11(i)'!I39+'[1]ACP_PS_11(i)'!D39+'[1]ACP_MSME_10'!D39+'[1]ACP_Agri_9(ii)'!N39</f>
        <v>6965.08</v>
      </c>
      <c r="Q39" s="204">
        <f>M39+J39+E39+'ACP_PS_11(i)'!O39+'ACP_PS_11(i)'!J39+'ACP_PS_11(i)'!E39+ACP_MSME_10!O39+'ACP_Agri_9(ii)'!O39</f>
        <v>601</v>
      </c>
      <c r="R39" s="204">
        <f>N39+K39+F39+'[1]ACP_PS_11(i)'!P39+'[1]ACP_PS_11(i)'!K39+'[1]ACP_PS_11(i)'!F39+'[1]ACP_MSME_10'!P39+'[1]ACP_Agri_9(ii)'!P39</f>
        <v>4017.3700000000003</v>
      </c>
      <c r="S39" s="194">
        <f t="shared" si="2"/>
        <v>57.678734486897504</v>
      </c>
      <c r="U39" s="198">
        <f>N39+K39+F39+'ACP_PS_11(i)'!P39+'ACP_PS_11(i)'!K39+'ACP_PS_11(i)'!F39+ACP_MSME_10!P39+'ACP_Agri_9(ii)'!P39</f>
        <v>4017.3700000000003</v>
      </c>
    </row>
    <row r="40" spans="1:21" ht="13.5">
      <c r="A40" s="179">
        <v>33</v>
      </c>
      <c r="B40" s="203" t="s">
        <v>303</v>
      </c>
      <c r="C40" s="204">
        <v>3710</v>
      </c>
      <c r="D40" s="204">
        <v>6989.57</v>
      </c>
      <c r="E40" s="204">
        <v>0</v>
      </c>
      <c r="F40" s="204">
        <v>0</v>
      </c>
      <c r="G40" s="194">
        <f t="shared" si="0"/>
        <v>0</v>
      </c>
      <c r="H40" s="204">
        <v>142</v>
      </c>
      <c r="I40" s="204">
        <v>817.81</v>
      </c>
      <c r="J40" s="204">
        <v>0</v>
      </c>
      <c r="K40" s="204">
        <v>0</v>
      </c>
      <c r="L40" s="194">
        <f t="shared" si="1"/>
        <v>0</v>
      </c>
      <c r="M40" s="204">
        <v>17</v>
      </c>
      <c r="N40" s="204">
        <v>8.04</v>
      </c>
      <c r="O40" s="131">
        <f>H40+C40+'[1]ACP_PS_11(i)'!M40+'[1]ACP_PS_11(i)'!H40+'[1]ACP_PS_11(i)'!C40+'[1]ACP_MSME_10'!C40+'[1]ACP_Agri_9(ii)'!M40</f>
        <v>53865</v>
      </c>
      <c r="P40" s="204">
        <f>I40+D40+'[1]ACP_PS_11(i)'!N40+'[1]ACP_PS_11(i)'!I40+'[1]ACP_PS_11(i)'!D40+'[1]ACP_MSME_10'!D40+'[1]ACP_Agri_9(ii)'!N40</f>
        <v>215681.83000000002</v>
      </c>
      <c r="Q40" s="204">
        <f>M40+J40+E40+'ACP_PS_11(i)'!O40+'ACP_PS_11(i)'!J40+'ACP_PS_11(i)'!E40+ACP_MSME_10!O40+'ACP_Agri_9(ii)'!O40</f>
        <v>32802</v>
      </c>
      <c r="R40" s="204">
        <f>N40+K40+F40+'[1]ACP_PS_11(i)'!P40+'[1]ACP_PS_11(i)'!K40+'[1]ACP_PS_11(i)'!F40+'[1]ACP_MSME_10'!P40+'[1]ACP_Agri_9(ii)'!P40</f>
        <v>85615.1108663</v>
      </c>
      <c r="S40" s="194">
        <f t="shared" si="2"/>
        <v>39.69509664597152</v>
      </c>
      <c r="U40" s="198">
        <f>N40+K40+F40+'ACP_PS_11(i)'!P40+'ACP_PS_11(i)'!K40+'ACP_PS_11(i)'!F40+ACP_MSME_10!P40+'ACP_Agri_9(ii)'!P40</f>
        <v>85615.1108663</v>
      </c>
    </row>
    <row r="41" spans="1:21" ht="13.5">
      <c r="A41" s="179">
        <v>34</v>
      </c>
      <c r="B41" s="203" t="s">
        <v>304</v>
      </c>
      <c r="C41" s="204">
        <v>9270</v>
      </c>
      <c r="D41" s="204">
        <v>17252.38</v>
      </c>
      <c r="E41" s="204"/>
      <c r="F41" s="204"/>
      <c r="G41" s="194">
        <f t="shared" si="0"/>
        <v>0</v>
      </c>
      <c r="H41" s="204">
        <v>144</v>
      </c>
      <c r="I41" s="204">
        <v>910.16</v>
      </c>
      <c r="J41" s="204"/>
      <c r="K41" s="204"/>
      <c r="L41" s="194">
        <f t="shared" si="1"/>
        <v>0</v>
      </c>
      <c r="M41" s="204"/>
      <c r="N41" s="204"/>
      <c r="O41" s="131">
        <f>H41+C41+'[1]ACP_PS_11(i)'!M41+'[1]ACP_PS_11(i)'!H41+'[1]ACP_PS_11(i)'!C41+'[1]ACP_MSME_10'!C41+'[1]ACP_Agri_9(ii)'!M41</f>
        <v>60123</v>
      </c>
      <c r="P41" s="204">
        <f>I41+D41+'[1]ACP_PS_11(i)'!N41+'[1]ACP_PS_11(i)'!I41+'[1]ACP_PS_11(i)'!D41+'[1]ACP_MSME_10'!D41+'[1]ACP_Agri_9(ii)'!N41</f>
        <v>215823.37</v>
      </c>
      <c r="Q41" s="204">
        <f>M41+J41+E41+'ACP_PS_11(i)'!O41+'ACP_PS_11(i)'!J41+'ACP_PS_11(i)'!E41+ACP_MSME_10!O41+'ACP_Agri_9(ii)'!O41</f>
        <v>46046</v>
      </c>
      <c r="R41" s="204">
        <f>N41+K41+F41+'[1]ACP_PS_11(i)'!P41+'[1]ACP_PS_11(i)'!K41+'[1]ACP_PS_11(i)'!F41+'[1]ACP_MSME_10'!P41+'[1]ACP_Agri_9(ii)'!P41</f>
        <v>190173.7177803</v>
      </c>
      <c r="S41" s="194">
        <f t="shared" si="2"/>
        <v>88.11544263269543</v>
      </c>
      <c r="U41" s="198">
        <f>N41+K41+F41+'ACP_PS_11(i)'!P41+'ACP_PS_11(i)'!K41+'ACP_PS_11(i)'!F41+ACP_MSME_10!P41+'ACP_Agri_9(ii)'!P41</f>
        <v>190173.7177803</v>
      </c>
    </row>
    <row r="42" spans="1:21" ht="13.5">
      <c r="A42" s="179">
        <v>35</v>
      </c>
      <c r="B42" s="203" t="s">
        <v>305</v>
      </c>
      <c r="C42" s="204">
        <v>378</v>
      </c>
      <c r="D42" s="204">
        <v>1047.86</v>
      </c>
      <c r="E42" s="204">
        <v>0</v>
      </c>
      <c r="F42" s="204">
        <v>0</v>
      </c>
      <c r="G42" s="194">
        <f t="shared" si="0"/>
        <v>0</v>
      </c>
      <c r="H42" s="204">
        <v>26</v>
      </c>
      <c r="I42" s="204">
        <v>111.38</v>
      </c>
      <c r="J42" s="204">
        <v>0</v>
      </c>
      <c r="K42" s="204">
        <v>0</v>
      </c>
      <c r="L42" s="194">
        <f t="shared" si="1"/>
        <v>0</v>
      </c>
      <c r="M42" s="204">
        <v>9</v>
      </c>
      <c r="N42" s="204">
        <v>1.35</v>
      </c>
      <c r="O42" s="131">
        <f>H42+C42+'[1]ACP_PS_11(i)'!M42+'[1]ACP_PS_11(i)'!H42+'[1]ACP_PS_11(i)'!C42+'[1]ACP_MSME_10'!C42+'[1]ACP_Agri_9(ii)'!M42</f>
        <v>6950</v>
      </c>
      <c r="P42" s="204">
        <f>I42+D42+'[1]ACP_PS_11(i)'!N42+'[1]ACP_PS_11(i)'!I42+'[1]ACP_PS_11(i)'!D42+'[1]ACP_MSME_10'!D42+'[1]ACP_Agri_9(ii)'!N42</f>
        <v>27453.72</v>
      </c>
      <c r="Q42" s="204">
        <f>M42+J42+E42+'ACP_PS_11(i)'!O42+'ACP_PS_11(i)'!J42+'ACP_PS_11(i)'!E42+ACP_MSME_10!O42+'ACP_Agri_9(ii)'!O42</f>
        <v>1521</v>
      </c>
      <c r="R42" s="204">
        <f>N42+K42+F42+'[1]ACP_PS_11(i)'!P42+'[1]ACP_PS_11(i)'!K42+'[1]ACP_PS_11(i)'!F42+'[1]ACP_MSME_10'!P42+'[1]ACP_Agri_9(ii)'!P42</f>
        <v>2949.35</v>
      </c>
      <c r="S42" s="194">
        <f t="shared" si="2"/>
        <v>10.742988564027025</v>
      </c>
      <c r="U42" s="198">
        <f>N42+K42+F42+'ACP_PS_11(i)'!P42+'ACP_PS_11(i)'!K42+'ACP_PS_11(i)'!F42+ACP_MSME_10!P42+'ACP_Agri_9(ii)'!P42</f>
        <v>2949.35</v>
      </c>
    </row>
    <row r="43" spans="1:21" ht="13.5">
      <c r="A43" s="179">
        <v>36</v>
      </c>
      <c r="B43" s="130" t="s">
        <v>255</v>
      </c>
      <c r="C43" s="204">
        <v>658</v>
      </c>
      <c r="D43" s="204">
        <v>705.7</v>
      </c>
      <c r="E43" s="204"/>
      <c r="F43" s="204"/>
      <c r="G43" s="194">
        <f t="shared" si="0"/>
        <v>0</v>
      </c>
      <c r="H43" s="204">
        <v>0</v>
      </c>
      <c r="I43" s="204">
        <v>0</v>
      </c>
      <c r="J43" s="204"/>
      <c r="K43" s="204"/>
      <c r="L43" s="194">
        <v>0</v>
      </c>
      <c r="M43" s="204"/>
      <c r="N43" s="204"/>
      <c r="O43" s="131">
        <f>H43+C43+'[1]ACP_PS_11(i)'!M43+'[1]ACP_PS_11(i)'!H43+'[1]ACP_PS_11(i)'!C43+'[1]ACP_MSME_10'!C43+'[1]ACP_Agri_9(ii)'!M43</f>
        <v>1661</v>
      </c>
      <c r="P43" s="204">
        <f>I43+D43+'[1]ACP_PS_11(i)'!N43+'[1]ACP_PS_11(i)'!I43+'[1]ACP_PS_11(i)'!D43+'[1]ACP_MSME_10'!D43+'[1]ACP_Agri_9(ii)'!N43</f>
        <v>2063.2400000000002</v>
      </c>
      <c r="Q43" s="204">
        <f>M43+J43+E43+'ACP_PS_11(i)'!O43+'ACP_PS_11(i)'!J43+'ACP_PS_11(i)'!E43+ACP_MSME_10!O43+'ACP_Agri_9(ii)'!O43</f>
        <v>4804</v>
      </c>
      <c r="R43" s="204">
        <f>N43+K43+F43+'[1]ACP_PS_11(i)'!P43+'[1]ACP_PS_11(i)'!K43+'[1]ACP_PS_11(i)'!F43+'[1]ACP_MSME_10'!P43+'[1]ACP_Agri_9(ii)'!P43</f>
        <v>26566</v>
      </c>
      <c r="S43" s="194">
        <f t="shared" si="2"/>
        <v>1287.5865144142222</v>
      </c>
      <c r="U43" s="198">
        <f>N43+K43+F43+'ACP_PS_11(i)'!P43+'ACP_PS_11(i)'!K43+'ACP_PS_11(i)'!F43+ACP_MSME_10!P43+'ACP_Agri_9(ii)'!P43</f>
        <v>26566</v>
      </c>
    </row>
    <row r="44" spans="1:21" ht="13.5">
      <c r="A44" s="179">
        <v>37</v>
      </c>
      <c r="B44" s="203" t="s">
        <v>306</v>
      </c>
      <c r="C44" s="204">
        <v>111</v>
      </c>
      <c r="D44" s="204">
        <v>301.78</v>
      </c>
      <c r="E44" s="204">
        <v>0</v>
      </c>
      <c r="F44" s="204">
        <v>0</v>
      </c>
      <c r="G44" s="194">
        <f t="shared" si="0"/>
        <v>0</v>
      </c>
      <c r="H44" s="204">
        <v>12</v>
      </c>
      <c r="I44" s="204">
        <v>50.78</v>
      </c>
      <c r="J44" s="204">
        <v>0</v>
      </c>
      <c r="K44" s="204">
        <v>0</v>
      </c>
      <c r="L44" s="194">
        <f t="shared" si="1"/>
        <v>0</v>
      </c>
      <c r="M44" s="204">
        <v>0</v>
      </c>
      <c r="N44" s="204">
        <v>0</v>
      </c>
      <c r="O44" s="131">
        <f>H44+C44+'[1]ACP_PS_11(i)'!M44+'[1]ACP_PS_11(i)'!H44+'[1]ACP_PS_11(i)'!C44+'[1]ACP_MSME_10'!C44+'[1]ACP_Agri_9(ii)'!M44</f>
        <v>974</v>
      </c>
      <c r="P44" s="204">
        <f>I44+D44+'[1]ACP_PS_11(i)'!N44+'[1]ACP_PS_11(i)'!I44+'[1]ACP_PS_11(i)'!D44+'[1]ACP_MSME_10'!D44+'[1]ACP_Agri_9(ii)'!N44</f>
        <v>4793.11</v>
      </c>
      <c r="Q44" s="204">
        <f>M44+J44+E44+'ACP_PS_11(i)'!O44+'ACP_PS_11(i)'!J44+'ACP_PS_11(i)'!E44+ACP_MSME_10!O44+'ACP_Agri_9(ii)'!O44</f>
        <v>47</v>
      </c>
      <c r="R44" s="204">
        <f>N44+K44+F44+'[1]ACP_PS_11(i)'!P44+'[1]ACP_PS_11(i)'!K44+'[1]ACP_PS_11(i)'!F44+'[1]ACP_MSME_10'!P44+'[1]ACP_Agri_9(ii)'!P44</f>
        <v>290</v>
      </c>
      <c r="S44" s="194">
        <f t="shared" si="2"/>
        <v>6.050351441965655</v>
      </c>
      <c r="U44" s="198">
        <f>N44+K44+F44+'ACP_PS_11(i)'!P44+'ACP_PS_11(i)'!K44+'ACP_PS_11(i)'!F44+ACP_MSME_10!P44+'ACP_Agri_9(ii)'!P44</f>
        <v>290</v>
      </c>
    </row>
    <row r="45" spans="1:21" ht="13.5">
      <c r="A45" s="179">
        <v>38</v>
      </c>
      <c r="B45" s="203" t="s">
        <v>307</v>
      </c>
      <c r="C45" s="204">
        <v>133</v>
      </c>
      <c r="D45" s="204">
        <v>283.01</v>
      </c>
      <c r="E45" s="204">
        <v>0</v>
      </c>
      <c r="F45" s="204">
        <v>0</v>
      </c>
      <c r="G45" s="194">
        <f t="shared" si="0"/>
        <v>0</v>
      </c>
      <c r="H45" s="204">
        <v>14</v>
      </c>
      <c r="I45" s="204">
        <v>49.58</v>
      </c>
      <c r="J45" s="204">
        <v>0</v>
      </c>
      <c r="K45" s="204">
        <v>0</v>
      </c>
      <c r="L45" s="194">
        <f t="shared" si="1"/>
        <v>0</v>
      </c>
      <c r="M45" s="204">
        <v>13</v>
      </c>
      <c r="N45" s="204">
        <v>121</v>
      </c>
      <c r="O45" s="131">
        <f>H45+C45+'[1]ACP_PS_11(i)'!M45+'[1]ACP_PS_11(i)'!H45+'[1]ACP_PS_11(i)'!C45+'[1]ACP_MSME_10'!C45+'[1]ACP_Agri_9(ii)'!M45</f>
        <v>1673</v>
      </c>
      <c r="P45" s="204">
        <f>I45+D45+'[1]ACP_PS_11(i)'!N45+'[1]ACP_PS_11(i)'!I45+'[1]ACP_PS_11(i)'!D45+'[1]ACP_MSME_10'!D45+'[1]ACP_Agri_9(ii)'!N45</f>
        <v>5936.71</v>
      </c>
      <c r="Q45" s="204">
        <f>M45+J45+E45+'ACP_PS_11(i)'!O45+'ACP_PS_11(i)'!J45+'ACP_PS_11(i)'!E45+ACP_MSME_10!O45+'ACP_Agri_9(ii)'!O45</f>
        <v>120</v>
      </c>
      <c r="R45" s="204">
        <f>N45+K45+F45+'[1]ACP_PS_11(i)'!P45+'[1]ACP_PS_11(i)'!K45+'[1]ACP_PS_11(i)'!F45+'[1]ACP_MSME_10'!P45+'[1]ACP_Agri_9(ii)'!P45</f>
        <v>1499</v>
      </c>
      <c r="S45" s="194">
        <f t="shared" si="2"/>
        <v>25.24967532522222</v>
      </c>
      <c r="U45" s="198">
        <f>N45+K45+F45+'ACP_PS_11(i)'!P45+'ACP_PS_11(i)'!K45+'ACP_PS_11(i)'!F45+ACP_MSME_10!P45+'ACP_Agri_9(ii)'!P45</f>
        <v>1499</v>
      </c>
    </row>
    <row r="46" spans="1:21" ht="13.5">
      <c r="A46" s="179">
        <v>39</v>
      </c>
      <c r="B46" s="203" t="s">
        <v>95</v>
      </c>
      <c r="C46" s="204">
        <v>126</v>
      </c>
      <c r="D46" s="204">
        <v>248.44</v>
      </c>
      <c r="E46" s="204">
        <v>0</v>
      </c>
      <c r="F46" s="204">
        <v>0</v>
      </c>
      <c r="G46" s="194">
        <f t="shared" si="0"/>
        <v>0</v>
      </c>
      <c r="H46" s="204">
        <v>11</v>
      </c>
      <c r="I46" s="204">
        <v>14.55</v>
      </c>
      <c r="J46" s="204">
        <v>0</v>
      </c>
      <c r="K46" s="204">
        <v>0</v>
      </c>
      <c r="L46" s="194">
        <f t="shared" si="1"/>
        <v>0</v>
      </c>
      <c r="M46" s="204">
        <v>0</v>
      </c>
      <c r="N46" s="204">
        <v>0</v>
      </c>
      <c r="O46" s="131">
        <f>H46+C46+'[1]ACP_PS_11(i)'!M46+'[1]ACP_PS_11(i)'!H46+'[1]ACP_PS_11(i)'!C46+'[1]ACP_MSME_10'!C46+'[1]ACP_Agri_9(ii)'!M46</f>
        <v>453</v>
      </c>
      <c r="P46" s="204">
        <f>I46+D46+'[1]ACP_PS_11(i)'!N46+'[1]ACP_PS_11(i)'!I46+'[1]ACP_PS_11(i)'!D46+'[1]ACP_MSME_10'!D46+'[1]ACP_Agri_9(ii)'!N46</f>
        <v>1891.3200000000002</v>
      </c>
      <c r="Q46" s="204">
        <f>M46+J46+E46+'ACP_PS_11(i)'!O46+'ACP_PS_11(i)'!J46+'ACP_PS_11(i)'!E46+ACP_MSME_10!O46+'ACP_Agri_9(ii)'!O46</f>
        <v>2</v>
      </c>
      <c r="R46" s="204">
        <f>N46+K46+F46+'[1]ACP_PS_11(i)'!P46+'[1]ACP_PS_11(i)'!K46+'[1]ACP_PS_11(i)'!F46+'[1]ACP_MSME_10'!P46+'[1]ACP_Agri_9(ii)'!P46</f>
        <v>1.92</v>
      </c>
      <c r="S46" s="194">
        <f t="shared" si="2"/>
        <v>0.1015164012435759</v>
      </c>
      <c r="U46" s="198">
        <f>N46+K46+F46+'ACP_PS_11(i)'!P46+'ACP_PS_11(i)'!K46+'ACP_PS_11(i)'!F46+ACP_MSME_10!P46+'ACP_Agri_9(ii)'!P46</f>
        <v>1.92</v>
      </c>
    </row>
    <row r="47" spans="1:21" ht="13.5">
      <c r="A47" s="179">
        <v>40</v>
      </c>
      <c r="B47" s="203" t="s">
        <v>308</v>
      </c>
      <c r="C47" s="204">
        <v>204</v>
      </c>
      <c r="D47" s="204">
        <v>647.34</v>
      </c>
      <c r="E47" s="204"/>
      <c r="F47" s="204"/>
      <c r="G47" s="194">
        <f t="shared" si="0"/>
        <v>0</v>
      </c>
      <c r="H47" s="204">
        <v>14</v>
      </c>
      <c r="I47" s="204">
        <v>66.44</v>
      </c>
      <c r="J47" s="204"/>
      <c r="K47" s="204"/>
      <c r="L47" s="194">
        <f t="shared" si="1"/>
        <v>0</v>
      </c>
      <c r="M47" s="204"/>
      <c r="N47" s="204"/>
      <c r="O47" s="131">
        <f>H47+C47+'[1]ACP_PS_11(i)'!M47+'[1]ACP_PS_11(i)'!H47+'[1]ACP_PS_11(i)'!C47+'[1]ACP_MSME_10'!C47+'[1]ACP_Agri_9(ii)'!M47</f>
        <v>9359</v>
      </c>
      <c r="P47" s="204">
        <f>I47+D47+'[1]ACP_PS_11(i)'!N47+'[1]ACP_PS_11(i)'!I47+'[1]ACP_PS_11(i)'!D47+'[1]ACP_MSME_10'!D47+'[1]ACP_Agri_9(ii)'!N47</f>
        <v>43666.759999999995</v>
      </c>
      <c r="Q47" s="204">
        <f>M47+J47+E47+'ACP_PS_11(i)'!O47+'ACP_PS_11(i)'!J47+'ACP_PS_11(i)'!E47+ACP_MSME_10!O47+'ACP_Agri_9(ii)'!O47</f>
        <v>0</v>
      </c>
      <c r="R47" s="204">
        <f>N47+K47+F47+'[1]ACP_PS_11(i)'!P47+'[1]ACP_PS_11(i)'!K47+'[1]ACP_PS_11(i)'!F47+'[1]ACP_MSME_10'!P47+'[1]ACP_Agri_9(ii)'!P47</f>
        <v>0</v>
      </c>
      <c r="S47" s="194">
        <f t="shared" si="2"/>
        <v>0</v>
      </c>
      <c r="U47" s="198">
        <f>N47+K47+F47+'ACP_PS_11(i)'!P47+'ACP_PS_11(i)'!K47+'ACP_PS_11(i)'!F47+ACP_MSME_10!P47+'ACP_Agri_9(ii)'!P47</f>
        <v>0</v>
      </c>
    </row>
    <row r="48" spans="1:21" ht="13.5">
      <c r="A48" s="179">
        <v>41</v>
      </c>
      <c r="B48" s="203" t="s">
        <v>309</v>
      </c>
      <c r="C48" s="204">
        <v>19</v>
      </c>
      <c r="D48" s="204">
        <v>54.33</v>
      </c>
      <c r="E48" s="204">
        <v>0</v>
      </c>
      <c r="F48" s="204">
        <v>0</v>
      </c>
      <c r="G48" s="194">
        <f t="shared" si="0"/>
        <v>0</v>
      </c>
      <c r="H48" s="204">
        <v>14</v>
      </c>
      <c r="I48" s="204">
        <v>4.84</v>
      </c>
      <c r="J48" s="204">
        <v>0</v>
      </c>
      <c r="K48" s="204">
        <v>0</v>
      </c>
      <c r="L48" s="194">
        <f t="shared" si="1"/>
        <v>0</v>
      </c>
      <c r="M48" s="204">
        <v>4</v>
      </c>
      <c r="N48" s="204">
        <v>395</v>
      </c>
      <c r="O48" s="131">
        <f>H48+C48+'[1]ACP_PS_11(i)'!M48+'[1]ACP_PS_11(i)'!H48+'[1]ACP_PS_11(i)'!C48+'[1]ACP_MSME_10'!C48+'[1]ACP_Agri_9(ii)'!M48</f>
        <v>231</v>
      </c>
      <c r="P48" s="204">
        <f>I48+D48+'[1]ACP_PS_11(i)'!N48+'[1]ACP_PS_11(i)'!I48+'[1]ACP_PS_11(i)'!D48+'[1]ACP_MSME_10'!D48+'[1]ACP_Agri_9(ii)'!N48</f>
        <v>1113.96</v>
      </c>
      <c r="Q48" s="204">
        <f>M48+J48+E48+'ACP_PS_11(i)'!O48+'ACP_PS_11(i)'!J48+'ACP_PS_11(i)'!E48+ACP_MSME_10!O48+'ACP_Agri_9(ii)'!O48</f>
        <v>11</v>
      </c>
      <c r="R48" s="204">
        <f>N48+K48+F48+'[1]ACP_PS_11(i)'!P48+'[1]ACP_PS_11(i)'!K48+'[1]ACP_PS_11(i)'!F48+'[1]ACP_MSME_10'!P48+'[1]ACP_Agri_9(ii)'!P48</f>
        <v>546</v>
      </c>
      <c r="S48" s="194">
        <f t="shared" si="2"/>
        <v>49.01432726489281</v>
      </c>
      <c r="U48" s="198">
        <f>N48+K48+F48+'ACP_PS_11(i)'!P48+'ACP_PS_11(i)'!K48+'ACP_PS_11(i)'!F48+ACP_MSME_10!P48+'ACP_Agri_9(ii)'!P48</f>
        <v>546</v>
      </c>
    </row>
    <row r="49" spans="1:21" ht="13.5">
      <c r="A49" s="179">
        <v>42</v>
      </c>
      <c r="B49" s="208" t="s">
        <v>310</v>
      </c>
      <c r="C49" s="204">
        <v>63</v>
      </c>
      <c r="D49" s="204">
        <v>166.74</v>
      </c>
      <c r="E49" s="204">
        <v>0</v>
      </c>
      <c r="F49" s="204">
        <v>0</v>
      </c>
      <c r="G49" s="194">
        <f t="shared" si="0"/>
        <v>0</v>
      </c>
      <c r="H49" s="204">
        <v>12</v>
      </c>
      <c r="I49" s="204">
        <v>31.78</v>
      </c>
      <c r="J49" s="204">
        <v>0</v>
      </c>
      <c r="K49" s="204">
        <v>0</v>
      </c>
      <c r="L49" s="194">
        <f t="shared" si="1"/>
        <v>0</v>
      </c>
      <c r="M49" s="204">
        <v>0</v>
      </c>
      <c r="N49" s="204">
        <v>0</v>
      </c>
      <c r="O49" s="131">
        <f>H49+C49+'[1]ACP_PS_11(i)'!M49+'[1]ACP_PS_11(i)'!H49+'[1]ACP_PS_11(i)'!C49+'[1]ACP_MSME_10'!C49+'[1]ACP_Agri_9(ii)'!M49</f>
        <v>593</v>
      </c>
      <c r="P49" s="204">
        <f>I49+D49+'[1]ACP_PS_11(i)'!N49+'[1]ACP_PS_11(i)'!I49+'[1]ACP_PS_11(i)'!D49+'[1]ACP_MSME_10'!D49+'[1]ACP_Agri_9(ii)'!N49</f>
        <v>2565.6099999999997</v>
      </c>
      <c r="Q49" s="204">
        <f>M49+J49+E49+'ACP_PS_11(i)'!O49+'ACP_PS_11(i)'!J49+'ACP_PS_11(i)'!E49+ACP_MSME_10!O49+'ACP_Agri_9(ii)'!O49</f>
        <v>1</v>
      </c>
      <c r="R49" s="204">
        <f>N49+K49+F49+'[1]ACP_PS_11(i)'!P49+'[1]ACP_PS_11(i)'!K49+'[1]ACP_PS_11(i)'!F49+'[1]ACP_MSME_10'!P49+'[1]ACP_Agri_9(ii)'!P49</f>
        <v>5</v>
      </c>
      <c r="S49" s="194">
        <f t="shared" si="2"/>
        <v>0.19488542685755048</v>
      </c>
      <c r="U49" s="198">
        <f>N49+K49+F49+'ACP_PS_11(i)'!P49+'ACP_PS_11(i)'!K49+'ACP_PS_11(i)'!F49+ACP_MSME_10!P49+'ACP_Agri_9(ii)'!P49</f>
        <v>5</v>
      </c>
    </row>
    <row r="50" spans="1:21" ht="13.5">
      <c r="A50" s="179">
        <v>43</v>
      </c>
      <c r="B50" s="203" t="s">
        <v>311</v>
      </c>
      <c r="C50" s="204">
        <v>32</v>
      </c>
      <c r="D50" s="204">
        <v>165.42</v>
      </c>
      <c r="E50" s="204">
        <v>0</v>
      </c>
      <c r="F50" s="204">
        <v>0</v>
      </c>
      <c r="G50" s="194">
        <f t="shared" si="0"/>
        <v>0</v>
      </c>
      <c r="H50" s="204">
        <v>12</v>
      </c>
      <c r="I50" s="204">
        <v>3.75</v>
      </c>
      <c r="J50" s="204">
        <v>0</v>
      </c>
      <c r="K50" s="204">
        <v>0</v>
      </c>
      <c r="L50" s="194">
        <f t="shared" si="1"/>
        <v>0</v>
      </c>
      <c r="M50" s="204">
        <v>25865</v>
      </c>
      <c r="N50" s="204">
        <v>5278.98</v>
      </c>
      <c r="O50" s="131">
        <f>H50+C50+'[1]ACP_PS_11(i)'!M50+'[1]ACP_PS_11(i)'!H50+'[1]ACP_PS_11(i)'!C50+'[1]ACP_MSME_10'!C50+'[1]ACP_Agri_9(ii)'!M50</f>
        <v>719</v>
      </c>
      <c r="P50" s="204">
        <f>I50+D50+'[1]ACP_PS_11(i)'!N50+'[1]ACP_PS_11(i)'!I50+'[1]ACP_PS_11(i)'!D50+'[1]ACP_MSME_10'!D50+'[1]ACP_Agri_9(ii)'!N50</f>
        <v>1934.8999999999999</v>
      </c>
      <c r="Q50" s="204">
        <f>M50+J50+E50+'ACP_PS_11(i)'!O50+'ACP_PS_11(i)'!J50+'ACP_PS_11(i)'!E50+ACP_MSME_10!O50+'ACP_Agri_9(ii)'!O50</f>
        <v>27791</v>
      </c>
      <c r="R50" s="204">
        <f>N50+K50+F50+'[1]ACP_PS_11(i)'!P50+'[1]ACP_PS_11(i)'!K50+'[1]ACP_PS_11(i)'!F50+'[1]ACP_MSME_10'!P50+'[1]ACP_Agri_9(ii)'!P50</f>
        <v>14272.2109658</v>
      </c>
      <c r="S50" s="194">
        <f t="shared" si="2"/>
        <v>737.620081957724</v>
      </c>
      <c r="U50" s="198">
        <f>N50+K50+F50+'ACP_PS_11(i)'!P50+'ACP_PS_11(i)'!K50+'ACP_PS_11(i)'!F50+ACP_MSME_10!P50+'ACP_Agri_9(ii)'!P50</f>
        <v>14272.2109658</v>
      </c>
    </row>
    <row r="51" spans="1:21" ht="13.5">
      <c r="A51" s="179">
        <v>44</v>
      </c>
      <c r="B51" s="203" t="s">
        <v>78</v>
      </c>
      <c r="C51" s="204">
        <v>104</v>
      </c>
      <c r="D51" s="204">
        <v>623.67</v>
      </c>
      <c r="E51" s="204"/>
      <c r="F51" s="204"/>
      <c r="G51" s="194">
        <f t="shared" si="0"/>
        <v>0</v>
      </c>
      <c r="H51" s="204">
        <v>14</v>
      </c>
      <c r="I51" s="204">
        <v>62.64</v>
      </c>
      <c r="J51" s="204"/>
      <c r="K51" s="204"/>
      <c r="L51" s="194">
        <f t="shared" si="1"/>
        <v>0</v>
      </c>
      <c r="M51" s="204"/>
      <c r="N51" s="204"/>
      <c r="O51" s="131">
        <f>H51+C51+'[1]ACP_PS_11(i)'!M51+'[1]ACP_PS_11(i)'!H51+'[1]ACP_PS_11(i)'!C51+'[1]ACP_MSME_10'!C51+'[1]ACP_Agri_9(ii)'!M51</f>
        <v>2728</v>
      </c>
      <c r="P51" s="204">
        <f>I51+D51+'[1]ACP_PS_11(i)'!N51+'[1]ACP_PS_11(i)'!I51+'[1]ACP_PS_11(i)'!D51+'[1]ACP_MSME_10'!D51+'[1]ACP_Agri_9(ii)'!N51</f>
        <v>9466.83</v>
      </c>
      <c r="Q51" s="204">
        <f>M51+J51+E51+'ACP_PS_11(i)'!O51+'ACP_PS_11(i)'!J51+'ACP_PS_11(i)'!E51+ACP_MSME_10!O51+'ACP_Agri_9(ii)'!O51</f>
        <v>0</v>
      </c>
      <c r="R51" s="204" t="e">
        <f>N51+K51+F51+'[1]ACP_PS_11(i)'!P51+'[1]ACP_PS_11(i)'!K51+'[1]ACP_PS_11(i)'!F51+'[1]ACP_MSME_10'!P51+'[1]ACP_Agri_9(ii)'!P51</f>
        <v>#REF!</v>
      </c>
      <c r="S51" s="194" t="e">
        <f t="shared" si="2"/>
        <v>#REF!</v>
      </c>
      <c r="U51" s="198">
        <f>N51+K51+F51+'ACP_PS_11(i)'!P51+'ACP_PS_11(i)'!K51+'ACP_PS_11(i)'!F51+ACP_MSME_10!P51+'ACP_Agri_9(ii)'!P51</f>
        <v>0</v>
      </c>
    </row>
    <row r="52" spans="1:21" s="195" customFormat="1" ht="13.5">
      <c r="A52" s="183"/>
      <c r="B52" s="206" t="s">
        <v>274</v>
      </c>
      <c r="C52" s="207">
        <f>SUM(C35:C51)</f>
        <v>17748</v>
      </c>
      <c r="D52" s="207">
        <f aca="true" t="shared" si="5" ref="D52:R52">SUM(D35:D51)</f>
        <v>35305.78</v>
      </c>
      <c r="E52" s="207">
        <f t="shared" si="5"/>
        <v>0</v>
      </c>
      <c r="F52" s="207">
        <f t="shared" si="5"/>
        <v>0</v>
      </c>
      <c r="G52" s="181">
        <f t="shared" si="0"/>
        <v>0</v>
      </c>
      <c r="H52" s="207">
        <f t="shared" si="5"/>
        <v>448</v>
      </c>
      <c r="I52" s="207">
        <f t="shared" si="5"/>
        <v>2586.0100000000007</v>
      </c>
      <c r="J52" s="207">
        <f t="shared" si="5"/>
        <v>0</v>
      </c>
      <c r="K52" s="207">
        <f t="shared" si="5"/>
        <v>0</v>
      </c>
      <c r="L52" s="181">
        <f t="shared" si="1"/>
        <v>0</v>
      </c>
      <c r="M52" s="207">
        <f t="shared" si="5"/>
        <v>74586</v>
      </c>
      <c r="N52" s="207">
        <f t="shared" si="5"/>
        <v>12921</v>
      </c>
      <c r="O52" s="138">
        <f t="shared" si="5"/>
        <v>182144</v>
      </c>
      <c r="P52" s="207">
        <f t="shared" si="5"/>
        <v>682309.7199999999</v>
      </c>
      <c r="Q52" s="207">
        <f t="shared" si="5"/>
        <v>177594</v>
      </c>
      <c r="R52" s="207" t="e">
        <f t="shared" si="5"/>
        <v>#REF!</v>
      </c>
      <c r="S52" s="181" t="e">
        <f t="shared" si="2"/>
        <v>#REF!</v>
      </c>
      <c r="U52" s="198">
        <f>N52+K52+F52+'ACP_PS_11(i)'!P52+'ACP_PS_11(i)'!K52+'ACP_PS_11(i)'!F52+ACP_MSME_10!P52+'ACP_Agri_9(ii)'!P52</f>
        <v>356806.5129324</v>
      </c>
    </row>
    <row r="53" spans="1:21" ht="13.5">
      <c r="A53" s="179">
        <v>45</v>
      </c>
      <c r="B53" s="203" t="s">
        <v>48</v>
      </c>
      <c r="C53" s="204">
        <v>9900.78655274088</v>
      </c>
      <c r="D53" s="204">
        <v>18065.71</v>
      </c>
      <c r="E53" s="204">
        <v>0</v>
      </c>
      <c r="F53" s="204">
        <v>0</v>
      </c>
      <c r="G53" s="194">
        <f t="shared" si="0"/>
        <v>0</v>
      </c>
      <c r="H53" s="204">
        <v>129.18150989044136</v>
      </c>
      <c r="I53" s="204">
        <v>386</v>
      </c>
      <c r="J53" s="204">
        <v>0</v>
      </c>
      <c r="K53" s="204">
        <v>0</v>
      </c>
      <c r="L53" s="194">
        <f t="shared" si="1"/>
        <v>0</v>
      </c>
      <c r="M53" s="204">
        <v>177</v>
      </c>
      <c r="N53" s="204">
        <v>224</v>
      </c>
      <c r="O53" s="131">
        <f>H53+C53+'[1]ACP_PS_11(i)'!M53+'[1]ACP_PS_11(i)'!H53+'[1]ACP_PS_11(i)'!C53+'[1]ACP_MSME_10'!C53+'[1]ACP_Agri_9(ii)'!M53</f>
        <v>109305.64098420263</v>
      </c>
      <c r="P53" s="204">
        <f>I53+D53+'[1]ACP_PS_11(i)'!N53+'[1]ACP_PS_11(i)'!I53+'[1]ACP_PS_11(i)'!D53+'[1]ACP_MSME_10'!D53+'[1]ACP_Agri_9(ii)'!N53</f>
        <v>359955.36</v>
      </c>
      <c r="Q53" s="204">
        <f>M53+J53+E53+'ACP_PS_11(i)'!O53+'ACP_PS_11(i)'!J53+'ACP_PS_11(i)'!E53+ACP_MSME_10!O53+'ACP_Agri_9(ii)'!O53</f>
        <v>41593</v>
      </c>
      <c r="R53" s="204">
        <f>N53+K53+F53+'[1]ACP_PS_11(i)'!P53+'[1]ACP_PS_11(i)'!K53+'[1]ACP_PS_11(i)'!F53+'[1]ACP_MSME_10'!P53+'[1]ACP_Agri_9(ii)'!P53</f>
        <v>68205</v>
      </c>
      <c r="S53" s="194">
        <f t="shared" si="2"/>
        <v>18.948182908013926</v>
      </c>
      <c r="U53" s="198">
        <f>N53+K53+F53+'ACP_PS_11(i)'!P53+'ACP_PS_11(i)'!K53+'ACP_PS_11(i)'!F53+ACP_MSME_10!P53+'ACP_Agri_9(ii)'!P53</f>
        <v>68205</v>
      </c>
    </row>
    <row r="54" spans="1:21" ht="13.5">
      <c r="A54" s="179">
        <v>46</v>
      </c>
      <c r="B54" s="203" t="s">
        <v>269</v>
      </c>
      <c r="C54" s="204">
        <v>3288</v>
      </c>
      <c r="D54" s="204">
        <v>3337.36</v>
      </c>
      <c r="E54" s="204">
        <v>0</v>
      </c>
      <c r="F54" s="204">
        <v>0</v>
      </c>
      <c r="G54" s="194">
        <f t="shared" si="0"/>
        <v>0</v>
      </c>
      <c r="H54" s="204">
        <v>110.74787348936466</v>
      </c>
      <c r="I54" s="204">
        <v>325</v>
      </c>
      <c r="J54" s="204">
        <v>0</v>
      </c>
      <c r="K54" s="204">
        <v>0</v>
      </c>
      <c r="L54" s="194">
        <f t="shared" si="1"/>
        <v>0</v>
      </c>
      <c r="M54" s="204">
        <v>24037</v>
      </c>
      <c r="N54" s="204">
        <v>12413</v>
      </c>
      <c r="O54" s="131">
        <f>H54+C54+'[1]ACP_PS_11(i)'!M54+'[1]ACP_PS_11(i)'!H54+'[1]ACP_PS_11(i)'!C54+'[1]ACP_MSME_10'!C54+'[1]ACP_Agri_9(ii)'!M54</f>
        <v>167740.29958402735</v>
      </c>
      <c r="P54" s="204">
        <f>I54+D54+'[1]ACP_PS_11(i)'!N54+'[1]ACP_PS_11(i)'!I54+'[1]ACP_PS_11(i)'!D54+'[1]ACP_MSME_10'!D54+'[1]ACP_Agri_9(ii)'!N54</f>
        <v>326278.53</v>
      </c>
      <c r="Q54" s="204">
        <f>M54+J54+E54+'ACP_PS_11(i)'!O54+'ACP_PS_11(i)'!J54+'ACP_PS_11(i)'!E54+ACP_MSME_10!O54+'ACP_Agri_9(ii)'!O54</f>
        <v>147988</v>
      </c>
      <c r="R54" s="204">
        <f>N54+K54+F54+'[1]ACP_PS_11(i)'!P54+'[1]ACP_PS_11(i)'!K54+'[1]ACP_PS_11(i)'!F54+'[1]ACP_MSME_10'!P54+'[1]ACP_Agri_9(ii)'!P54</f>
        <v>74233</v>
      </c>
      <c r="S54" s="194">
        <f t="shared" si="2"/>
        <v>22.751420389199374</v>
      </c>
      <c r="U54" s="198">
        <f>N54+K54+F54+'ACP_PS_11(i)'!P54+'ACP_PS_11(i)'!K54+'ACP_PS_11(i)'!F54+ACP_MSME_10!P54+'ACP_Agri_9(ii)'!P54</f>
        <v>74233</v>
      </c>
    </row>
    <row r="55" spans="1:21" ht="13.5">
      <c r="A55" s="179">
        <v>47</v>
      </c>
      <c r="B55" s="203" t="s">
        <v>54</v>
      </c>
      <c r="C55" s="204">
        <f>2616+3525</f>
        <v>6141</v>
      </c>
      <c r="D55" s="204">
        <f>7355+3882</f>
        <v>11237</v>
      </c>
      <c r="E55" s="204">
        <v>0</v>
      </c>
      <c r="F55" s="204">
        <v>0</v>
      </c>
      <c r="G55" s="194">
        <f t="shared" si="0"/>
        <v>0</v>
      </c>
      <c r="H55" s="204">
        <f>111+173</f>
        <v>284</v>
      </c>
      <c r="I55" s="204">
        <f>567+126</f>
        <v>693</v>
      </c>
      <c r="J55" s="204">
        <v>0</v>
      </c>
      <c r="K55" s="204">
        <v>0</v>
      </c>
      <c r="L55" s="194">
        <f t="shared" si="1"/>
        <v>0</v>
      </c>
      <c r="M55" s="204">
        <v>0</v>
      </c>
      <c r="N55" s="204">
        <v>0</v>
      </c>
      <c r="O55" s="131">
        <f>H55+C55+'[1]ACP_PS_11(i)'!M55+'[1]ACP_PS_11(i)'!H55+'[1]ACP_PS_11(i)'!C55+'[1]ACP_MSME_10'!C55+'[1]ACP_Agri_9(ii)'!M55</f>
        <v>136956.13346574875</v>
      </c>
      <c r="P55" s="204">
        <f>I55+D55+'[1]ACP_PS_11(i)'!N55+'[1]ACP_PS_11(i)'!I55+'[1]ACP_PS_11(i)'!D55+'[1]ACP_MSME_10'!D55+'[1]ACP_Agri_9(ii)'!N55</f>
        <v>487636.07999999996</v>
      </c>
      <c r="Q55" s="204">
        <f>M55+J55+E55+'ACP_PS_11(i)'!O55+'ACP_PS_11(i)'!J55+'ACP_PS_11(i)'!E55+ACP_MSME_10!O55+'ACP_Agri_9(ii)'!O55</f>
        <v>69390</v>
      </c>
      <c r="R55" s="204">
        <f>N55+K55+F55+'[1]ACP_PS_11(i)'!P55+'[1]ACP_PS_11(i)'!K55+'[1]ACP_PS_11(i)'!F55+'[1]ACP_MSME_10'!P55+'[1]ACP_Agri_9(ii)'!P55</f>
        <v>105388.87000000001</v>
      </c>
      <c r="S55" s="194">
        <f t="shared" si="2"/>
        <v>21.61219694818317</v>
      </c>
      <c r="U55" s="198">
        <f>N55+K55+F55+'ACP_PS_11(i)'!P55+'ACP_PS_11(i)'!K55+'ACP_PS_11(i)'!F55+ACP_MSME_10!P55+'ACP_Agri_9(ii)'!P55</f>
        <v>105388.87000000001</v>
      </c>
    </row>
    <row r="56" spans="1:21" s="195" customFormat="1" ht="13.5">
      <c r="A56" s="183"/>
      <c r="B56" s="206" t="s">
        <v>270</v>
      </c>
      <c r="C56" s="207">
        <f>SUM(C53:C55)</f>
        <v>19329.78655274088</v>
      </c>
      <c r="D56" s="207">
        <f aca="true" t="shared" si="6" ref="D56:R56">SUM(D53:D55)</f>
        <v>32640.07</v>
      </c>
      <c r="E56" s="207">
        <f t="shared" si="6"/>
        <v>0</v>
      </c>
      <c r="F56" s="207">
        <f t="shared" si="6"/>
        <v>0</v>
      </c>
      <c r="G56" s="181">
        <f t="shared" si="0"/>
        <v>0</v>
      </c>
      <c r="H56" s="207">
        <f t="shared" si="6"/>
        <v>523.929383379806</v>
      </c>
      <c r="I56" s="207">
        <f t="shared" si="6"/>
        <v>1404</v>
      </c>
      <c r="J56" s="207">
        <f t="shared" si="6"/>
        <v>0</v>
      </c>
      <c r="K56" s="207">
        <f t="shared" si="6"/>
        <v>0</v>
      </c>
      <c r="L56" s="181">
        <f t="shared" si="1"/>
        <v>0</v>
      </c>
      <c r="M56" s="207">
        <f t="shared" si="6"/>
        <v>24214</v>
      </c>
      <c r="N56" s="207">
        <f t="shared" si="6"/>
        <v>12637</v>
      </c>
      <c r="O56" s="138">
        <f t="shared" si="6"/>
        <v>414002.07403397874</v>
      </c>
      <c r="P56" s="207">
        <f t="shared" si="6"/>
        <v>1173869.97</v>
      </c>
      <c r="Q56" s="207">
        <f t="shared" si="6"/>
        <v>258971</v>
      </c>
      <c r="R56" s="207">
        <f t="shared" si="6"/>
        <v>247826.87</v>
      </c>
      <c r="S56" s="181">
        <f t="shared" si="2"/>
        <v>21.111952459265996</v>
      </c>
      <c r="U56" s="198">
        <f>N56+K56+F56+'ACP_PS_11(i)'!P56+'ACP_PS_11(i)'!K56+'ACP_PS_11(i)'!F56+ACP_MSME_10!P56+'ACP_Agri_9(ii)'!P56</f>
        <v>247826.87</v>
      </c>
    </row>
    <row r="57" spans="1:21" ht="13.5">
      <c r="A57" s="179">
        <v>48</v>
      </c>
      <c r="B57" s="203" t="s">
        <v>312</v>
      </c>
      <c r="C57" s="204">
        <v>9670</v>
      </c>
      <c r="D57" s="204">
        <v>5919.02</v>
      </c>
      <c r="E57" s="204">
        <v>0</v>
      </c>
      <c r="F57" s="204">
        <v>0</v>
      </c>
      <c r="G57" s="194">
        <f t="shared" si="0"/>
        <v>0</v>
      </c>
      <c r="H57" s="204">
        <v>314</v>
      </c>
      <c r="I57" s="204">
        <v>1204.87</v>
      </c>
      <c r="J57" s="204">
        <v>0</v>
      </c>
      <c r="K57" s="204">
        <v>0</v>
      </c>
      <c r="L57" s="194">
        <f t="shared" si="1"/>
        <v>0</v>
      </c>
      <c r="M57" s="204">
        <v>0</v>
      </c>
      <c r="N57" s="204">
        <v>0</v>
      </c>
      <c r="O57" s="131">
        <f>H57+C57+'[1]ACP_PS_11(i)'!M57+'[1]ACP_PS_11(i)'!H57+'[1]ACP_PS_11(i)'!C57+'[1]ACP_MSME_10'!C57+'[1]ACP_Agri_9(ii)'!M57</f>
        <v>748763</v>
      </c>
      <c r="P57" s="204">
        <f>I57+D57+'[1]ACP_PS_11(i)'!N57+'[1]ACP_PS_11(i)'!I57+'[1]ACP_PS_11(i)'!D57+'[1]ACP_MSME_10'!D57+'[1]ACP_Agri_9(ii)'!N57</f>
        <v>2277171.81</v>
      </c>
      <c r="Q57" s="204">
        <f>M57+J57+E57+'ACP_PS_11(i)'!O57+'ACP_PS_11(i)'!J57+'ACP_PS_11(i)'!E57+ACP_MSME_10!O57+'ACP_Agri_9(ii)'!O57</f>
        <v>1462195</v>
      </c>
      <c r="R57" s="204">
        <f>N57+K57+F57+'ACP_PS_11(i)'!P57+'ACP_PS_11(i)'!K57+'ACP_PS_11(i)'!F57+ACP_MSME_10!P57+'ACP_Agri_9(ii)'!P57</f>
        <v>567362</v>
      </c>
      <c r="S57" s="194">
        <f t="shared" si="2"/>
        <v>24.915203916914816</v>
      </c>
      <c r="U57" s="198">
        <f>N57+K57+F57+'ACP_PS_11(i)'!P57+'ACP_PS_11(i)'!K57+'ACP_PS_11(i)'!F57+ACP_MSME_10!P57+'ACP_Agri_9(ii)'!P57</f>
        <v>567362</v>
      </c>
    </row>
    <row r="58" spans="1:21" s="195" customFormat="1" ht="13.5">
      <c r="A58" s="183"/>
      <c r="B58" s="206" t="s">
        <v>275</v>
      </c>
      <c r="C58" s="207">
        <f>C57</f>
        <v>9670</v>
      </c>
      <c r="D58" s="207">
        <f aca="true" t="shared" si="7" ref="D58:R58">D57</f>
        <v>5919.02</v>
      </c>
      <c r="E58" s="207">
        <f t="shared" si="7"/>
        <v>0</v>
      </c>
      <c r="F58" s="207">
        <f t="shared" si="7"/>
        <v>0</v>
      </c>
      <c r="G58" s="181">
        <f t="shared" si="0"/>
        <v>0</v>
      </c>
      <c r="H58" s="207">
        <f t="shared" si="7"/>
        <v>314</v>
      </c>
      <c r="I58" s="207">
        <f t="shared" si="7"/>
        <v>1204.87</v>
      </c>
      <c r="J58" s="207">
        <f t="shared" si="7"/>
        <v>0</v>
      </c>
      <c r="K58" s="207">
        <f t="shared" si="7"/>
        <v>0</v>
      </c>
      <c r="L58" s="181">
        <f t="shared" si="1"/>
        <v>0</v>
      </c>
      <c r="M58" s="207">
        <f t="shared" si="7"/>
        <v>0</v>
      </c>
      <c r="N58" s="207">
        <f t="shared" si="7"/>
        <v>0</v>
      </c>
      <c r="O58" s="138">
        <f>H58+C58+'[1]ACP_PS_11(i)'!M58+'[1]ACP_PS_11(i)'!H58+'[1]ACP_PS_11(i)'!C58+'[1]ACP_MSME_10'!C58+'[1]ACP_Agri_9(ii)'!M58</f>
        <v>748763</v>
      </c>
      <c r="P58" s="207">
        <f>I58+D58+'[1]ACP_PS_11(i)'!N58+'[1]ACP_PS_11(i)'!I58+'[1]ACP_PS_11(i)'!D58+'[1]ACP_MSME_10'!D58+'[1]ACP_Agri_9(ii)'!N58</f>
        <v>2277171.81</v>
      </c>
      <c r="Q58" s="207">
        <f>M58+J58+E58+'ACP_PS_11(i)'!O58+'ACP_PS_11(i)'!J58+'ACP_PS_11(i)'!E58+ACP_MSME_10!O58+'ACP_Agri_9(ii)'!O58</f>
        <v>1462195</v>
      </c>
      <c r="R58" s="207">
        <f t="shared" si="7"/>
        <v>567362</v>
      </c>
      <c r="S58" s="181">
        <f t="shared" si="2"/>
        <v>24.915203916914816</v>
      </c>
      <c r="U58" s="198">
        <f>N58+K58+F58+'ACP_PS_11(i)'!P58+'ACP_PS_11(i)'!K58+'ACP_PS_11(i)'!F58+ACP_MSME_10!P58+'ACP_Agri_9(ii)'!P58</f>
        <v>567362</v>
      </c>
    </row>
    <row r="59" spans="1:21" s="195" customFormat="1" ht="13.5">
      <c r="A59" s="183"/>
      <c r="B59" s="206" t="s">
        <v>276</v>
      </c>
      <c r="C59" s="207">
        <f>C58+C56+C52+C34+C27</f>
        <v>220177.78655274087</v>
      </c>
      <c r="D59" s="207">
        <f aca="true" t="shared" si="8" ref="D59:R59">D58+D56+D52+D34+D27</f>
        <v>391420.45999999996</v>
      </c>
      <c r="E59" s="207">
        <f t="shared" si="8"/>
        <v>66</v>
      </c>
      <c r="F59" s="207">
        <f t="shared" si="8"/>
        <v>1058.07</v>
      </c>
      <c r="G59" s="181">
        <f t="shared" si="0"/>
        <v>0.27031545566115783</v>
      </c>
      <c r="H59" s="207">
        <f t="shared" si="8"/>
        <v>5276.929383379806</v>
      </c>
      <c r="I59" s="207">
        <f t="shared" si="8"/>
        <v>27076.891800000005</v>
      </c>
      <c r="J59" s="207">
        <f t="shared" si="8"/>
        <v>19</v>
      </c>
      <c r="K59" s="207">
        <f t="shared" si="8"/>
        <v>20.61</v>
      </c>
      <c r="L59" s="181">
        <f t="shared" si="1"/>
        <v>0.07611656519600966</v>
      </c>
      <c r="M59" s="207">
        <f t="shared" si="8"/>
        <v>118961</v>
      </c>
      <c r="N59" s="207">
        <f t="shared" si="8"/>
        <v>73519.47</v>
      </c>
      <c r="O59" s="138">
        <f t="shared" si="8"/>
        <v>3424775.074033979</v>
      </c>
      <c r="P59" s="207">
        <f t="shared" si="8"/>
        <v>10910448.4618</v>
      </c>
      <c r="Q59" s="207">
        <f>M59+J59+E59+'ACP_PS_11(i)'!O59+'ACP_PS_11(i)'!J59+'ACP_PS_11(i)'!E59+ACP_MSME_10!O59+'ACP_Agri_9(ii)'!O59</f>
        <v>2635471</v>
      </c>
      <c r="R59" s="207" t="e">
        <f t="shared" si="8"/>
        <v>#REF!</v>
      </c>
      <c r="S59" s="181" t="e">
        <f t="shared" si="2"/>
        <v>#REF!</v>
      </c>
      <c r="U59" s="198">
        <f>N59+K59+F59+'ACP_PS_11(i)'!P59+'ACP_PS_11(i)'!K59+'ACP_PS_11(i)'!F59+ACP_MSME_10!P59+'ACP_Agri_9(ii)'!P59</f>
        <v>2860494.3603737997</v>
      </c>
    </row>
    <row r="61" ht="13.5">
      <c r="C61" s="198">
        <v>19330</v>
      </c>
    </row>
    <row r="62" ht="13.5">
      <c r="C62" s="198">
        <f>C56-C61</f>
        <v>-0.21344725912058493</v>
      </c>
    </row>
    <row r="64" spans="15:16" ht="13.5">
      <c r="O64" s="212"/>
      <c r="P64" s="209"/>
    </row>
  </sheetData>
  <sheetProtection/>
  <mergeCells count="17">
    <mergeCell ref="S3:S5"/>
    <mergeCell ref="C4:D4"/>
    <mergeCell ref="E4:F4"/>
    <mergeCell ref="J4:K4"/>
    <mergeCell ref="M4:N4"/>
    <mergeCell ref="M3:N3"/>
    <mergeCell ref="O3:R3"/>
    <mergeCell ref="O4:P4"/>
    <mergeCell ref="G3:G5"/>
    <mergeCell ref="L3:L5"/>
    <mergeCell ref="A1:R1"/>
    <mergeCell ref="A3:A5"/>
    <mergeCell ref="B3:B5"/>
    <mergeCell ref="C3:F3"/>
    <mergeCell ref="Q4:R4"/>
    <mergeCell ref="H3:K3"/>
    <mergeCell ref="H4:I4"/>
  </mergeCells>
  <conditionalFormatting sqref="B6">
    <cfRule type="duplicateValues" priority="3" dxfId="197">
      <formula>AND(COUNTIF($B$6:$B$6,B6)&gt;1,NOT(ISBLANK(B6)))</formula>
    </cfRule>
  </conditionalFormatting>
  <conditionalFormatting sqref="B22">
    <cfRule type="duplicateValues" priority="4" dxfId="197">
      <formula>AND(COUNTIF($B$22:$B$22,B22)&gt;1,NOT(ISBLANK(B22)))</formula>
    </cfRule>
  </conditionalFormatting>
  <conditionalFormatting sqref="B33:B34 B26:B30">
    <cfRule type="duplicateValues" priority="5" dxfId="197">
      <formula>AND(COUNTIF($B$33:$B$34,B26)+COUNTIF($B$26:$B$30,B26)&gt;1,NOT(ISBLANK(B26)))</formula>
    </cfRule>
  </conditionalFormatting>
  <conditionalFormatting sqref="B52">
    <cfRule type="duplicateValues" priority="6" dxfId="197">
      <formula>AND(COUNTIF($B$52:$B$52,B52)&gt;1,NOT(ISBLANK(B52)))</formula>
    </cfRule>
  </conditionalFormatting>
  <conditionalFormatting sqref="B56">
    <cfRule type="duplicateValues" priority="7" dxfId="197">
      <formula>AND(COUNTIF($B$56:$B$56,B56)&gt;1,NOT(ISBLANK(B56)))</formula>
    </cfRule>
  </conditionalFormatting>
  <conditionalFormatting sqref="B58">
    <cfRule type="duplicateValues" priority="8" dxfId="197">
      <formula>AND(COUNTIF($B$58:$B$58,B58)&gt;1,NOT(ISBLANK(B58)))</formula>
    </cfRule>
  </conditionalFormatting>
  <conditionalFormatting sqref="S1:S65536">
    <cfRule type="cellIs" priority="2" dxfId="198" operator="greaterThan" stopIfTrue="1">
      <formula>100</formula>
    </cfRule>
  </conditionalFormatting>
  <conditionalFormatting sqref="U1:U65536">
    <cfRule type="cellIs" priority="1" dxfId="198" operator="lessThan" stopIfTrue="1">
      <formula>0</formula>
    </cfRule>
  </conditionalFormatting>
  <printOptions/>
  <pageMargins left="0.2" right="0.2" top="0.5" bottom="0.5" header="0.3" footer="0.3"/>
  <pageSetup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Y59"/>
  <sheetViews>
    <sheetView view="pageBreakPreview" zoomScale="60" zoomScalePageLayoutView="0" workbookViewId="0" topLeftCell="A1">
      <pane xSplit="2" ySplit="7" topLeftCell="G3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52" sqref="Q52"/>
    </sheetView>
  </sheetViews>
  <sheetFormatPr defaultColWidth="4.421875" defaultRowHeight="12.75"/>
  <cols>
    <col min="1" max="1" width="4.421875" style="192" customWidth="1"/>
    <col min="2" max="2" width="21.8515625" style="192" bestFit="1" customWidth="1"/>
    <col min="3" max="3" width="9.140625" style="198" bestFit="1" customWidth="1"/>
    <col min="4" max="4" width="9.8515625" style="198" bestFit="1" customWidth="1"/>
    <col min="5" max="5" width="7.00390625" style="198" bestFit="1" customWidth="1"/>
    <col min="6" max="6" width="8.7109375" style="198" bestFit="1" customWidth="1"/>
    <col min="7" max="7" width="5.8515625" style="198" bestFit="1" customWidth="1"/>
    <col min="8" max="8" width="7.7109375" style="198" bestFit="1" customWidth="1"/>
    <col min="9" max="9" width="5.8515625" style="198" bestFit="1" customWidth="1"/>
    <col min="10" max="10" width="8.421875" style="198" customWidth="1"/>
    <col min="11" max="11" width="5.8515625" style="198" bestFit="1" customWidth="1"/>
    <col min="12" max="12" width="8.28125" style="198" bestFit="1" customWidth="1"/>
    <col min="13" max="13" width="7.28125" style="198" bestFit="1" customWidth="1"/>
    <col min="14" max="14" width="8.7109375" style="198" bestFit="1" customWidth="1"/>
    <col min="15" max="15" width="6.140625" style="198" bestFit="1" customWidth="1"/>
    <col min="16" max="16" width="7.28125" style="198" bestFit="1" customWidth="1"/>
    <col min="17" max="17" width="7.7109375" style="198" bestFit="1" customWidth="1"/>
    <col min="18" max="20" width="9.00390625" style="198" bestFit="1" customWidth="1"/>
    <col min="21" max="21" width="8.7109375" style="198" bestFit="1" customWidth="1"/>
    <col min="22" max="22" width="12.57421875" style="198" bestFit="1" customWidth="1"/>
    <col min="23" max="23" width="9.140625" style="197" bestFit="1" customWidth="1"/>
    <col min="24" max="24" width="10.57421875" style="197" bestFit="1" customWidth="1"/>
    <col min="25" max="25" width="8.57421875" style="192" bestFit="1" customWidth="1"/>
    <col min="26" max="16384" width="4.421875" style="192" customWidth="1"/>
  </cols>
  <sheetData>
    <row r="1" spans="1:24" ht="15.75">
      <c r="A1" s="599" t="s">
        <v>191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</row>
    <row r="2" spans="2:22" ht="13.5">
      <c r="B2" s="195" t="s">
        <v>141</v>
      </c>
      <c r="J2" s="198" t="s">
        <v>160</v>
      </c>
      <c r="N2" s="192"/>
      <c r="O2" s="197"/>
      <c r="P2" s="197"/>
      <c r="V2" s="197" t="s">
        <v>189</v>
      </c>
    </row>
    <row r="3" spans="1:25" ht="15" customHeight="1">
      <c r="A3" s="584" t="s">
        <v>335</v>
      </c>
      <c r="B3" s="584" t="s">
        <v>336</v>
      </c>
      <c r="C3" s="587" t="s">
        <v>337</v>
      </c>
      <c r="D3" s="587"/>
      <c r="E3" s="583" t="s">
        <v>172</v>
      </c>
      <c r="F3" s="583"/>
      <c r="G3" s="583" t="s">
        <v>24</v>
      </c>
      <c r="H3" s="583"/>
      <c r="I3" s="583"/>
      <c r="J3" s="583"/>
      <c r="K3" s="583"/>
      <c r="L3" s="583"/>
      <c r="M3" s="583"/>
      <c r="N3" s="583"/>
      <c r="O3" s="583" t="s">
        <v>143</v>
      </c>
      <c r="P3" s="583"/>
      <c r="Q3" s="583" t="s">
        <v>144</v>
      </c>
      <c r="R3" s="583"/>
      <c r="S3" s="583" t="s">
        <v>173</v>
      </c>
      <c r="T3" s="583"/>
      <c r="U3" s="583" t="s">
        <v>137</v>
      </c>
      <c r="V3" s="583"/>
      <c r="W3" s="583" t="s">
        <v>174</v>
      </c>
      <c r="X3" s="583"/>
      <c r="Y3" s="600" t="s">
        <v>125</v>
      </c>
    </row>
    <row r="4" spans="1:25" ht="24.75" customHeight="1">
      <c r="A4" s="584"/>
      <c r="B4" s="584"/>
      <c r="C4" s="603" t="s">
        <v>30</v>
      </c>
      <c r="D4" s="603" t="s">
        <v>17</v>
      </c>
      <c r="E4" s="583"/>
      <c r="F4" s="583"/>
      <c r="G4" s="583" t="s">
        <v>133</v>
      </c>
      <c r="H4" s="583"/>
      <c r="I4" s="583" t="s">
        <v>134</v>
      </c>
      <c r="J4" s="583"/>
      <c r="K4" s="583" t="s">
        <v>135</v>
      </c>
      <c r="L4" s="583"/>
      <c r="M4" s="583" t="s">
        <v>175</v>
      </c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601"/>
    </row>
    <row r="5" spans="1:25" s="211" customFormat="1" ht="33" customHeight="1">
      <c r="A5" s="584"/>
      <c r="B5" s="584"/>
      <c r="C5" s="604"/>
      <c r="D5" s="604"/>
      <c r="E5" s="210" t="s">
        <v>30</v>
      </c>
      <c r="F5" s="210" t="s">
        <v>17</v>
      </c>
      <c r="G5" s="210" t="s">
        <v>30</v>
      </c>
      <c r="H5" s="210" t="s">
        <v>17</v>
      </c>
      <c r="I5" s="210" t="s">
        <v>30</v>
      </c>
      <c r="J5" s="210" t="s">
        <v>17</v>
      </c>
      <c r="K5" s="210" t="s">
        <v>30</v>
      </c>
      <c r="L5" s="210" t="s">
        <v>17</v>
      </c>
      <c r="M5" s="210" t="s">
        <v>30</v>
      </c>
      <c r="N5" s="210" t="s">
        <v>17</v>
      </c>
      <c r="O5" s="210" t="s">
        <v>30</v>
      </c>
      <c r="P5" s="210" t="s">
        <v>17</v>
      </c>
      <c r="Q5" s="210" t="s">
        <v>30</v>
      </c>
      <c r="R5" s="210" t="s">
        <v>17</v>
      </c>
      <c r="S5" s="210" t="s">
        <v>30</v>
      </c>
      <c r="T5" s="210" t="s">
        <v>17</v>
      </c>
      <c r="U5" s="210" t="s">
        <v>30</v>
      </c>
      <c r="V5" s="210" t="s">
        <v>17</v>
      </c>
      <c r="W5" s="210" t="s">
        <v>30</v>
      </c>
      <c r="X5" s="210" t="s">
        <v>17</v>
      </c>
      <c r="Y5" s="602"/>
    </row>
    <row r="6" spans="1:25" ht="13.5">
      <c r="A6" s="179">
        <v>1</v>
      </c>
      <c r="B6" s="180" t="s">
        <v>313</v>
      </c>
      <c r="C6" s="204">
        <v>5565</v>
      </c>
      <c r="D6" s="204">
        <v>1762.35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2</v>
      </c>
      <c r="L6" s="204">
        <v>2000</v>
      </c>
      <c r="M6" s="207">
        <f>G6+I6+K6</f>
        <v>2</v>
      </c>
      <c r="N6" s="207">
        <f>H6+J6+L6</f>
        <v>2000</v>
      </c>
      <c r="O6" s="204">
        <v>0</v>
      </c>
      <c r="P6" s="204">
        <v>0</v>
      </c>
      <c r="Q6" s="204">
        <v>0</v>
      </c>
      <c r="R6" s="204">
        <v>0</v>
      </c>
      <c r="S6" s="204">
        <v>316</v>
      </c>
      <c r="T6" s="204">
        <v>552.74</v>
      </c>
      <c r="U6" s="204">
        <v>318</v>
      </c>
      <c r="V6" s="204">
        <v>2552.74</v>
      </c>
      <c r="W6" s="207">
        <f>E6+M6+O6+Q6+S6+U6</f>
        <v>636</v>
      </c>
      <c r="X6" s="207">
        <f>F6+N6+P6+R6+T6+V6</f>
        <v>5105.48</v>
      </c>
      <c r="Y6" s="194">
        <f>X6*100/D6</f>
        <v>289.69727920106675</v>
      </c>
    </row>
    <row r="7" spans="1:25" ht="13.5">
      <c r="A7" s="179">
        <v>2</v>
      </c>
      <c r="B7" s="180" t="s">
        <v>58</v>
      </c>
      <c r="C7" s="204">
        <v>1310</v>
      </c>
      <c r="D7" s="204">
        <v>2711.21</v>
      </c>
      <c r="E7" s="204">
        <v>0</v>
      </c>
      <c r="F7" s="204">
        <v>0</v>
      </c>
      <c r="G7" s="204">
        <v>1</v>
      </c>
      <c r="H7" s="204">
        <v>25</v>
      </c>
      <c r="I7" s="204">
        <v>0</v>
      </c>
      <c r="J7" s="204">
        <v>0</v>
      </c>
      <c r="K7" s="204">
        <v>0</v>
      </c>
      <c r="L7" s="204">
        <v>0</v>
      </c>
      <c r="M7" s="207">
        <f>G7+I7+K7</f>
        <v>1</v>
      </c>
      <c r="N7" s="207">
        <f>H7+J7+L7</f>
        <v>25</v>
      </c>
      <c r="O7" s="204">
        <v>1</v>
      </c>
      <c r="P7" s="204">
        <v>9.58</v>
      </c>
      <c r="Q7" s="204">
        <v>24</v>
      </c>
      <c r="R7" s="204">
        <v>153.74</v>
      </c>
      <c r="S7" s="204">
        <v>444</v>
      </c>
      <c r="T7" s="204">
        <v>973</v>
      </c>
      <c r="U7" s="204">
        <v>0</v>
      </c>
      <c r="V7" s="204">
        <v>0</v>
      </c>
      <c r="W7" s="207">
        <f aca="true" t="shared" si="0" ref="W7:X59">E7+M7+O7+Q7+S7+U7</f>
        <v>470</v>
      </c>
      <c r="X7" s="207">
        <f t="shared" si="0"/>
        <v>1161.32</v>
      </c>
      <c r="Y7" s="194">
        <f aca="true" t="shared" si="1" ref="Y7:Y59">X7*100/D7</f>
        <v>42.834011382371706</v>
      </c>
    </row>
    <row r="8" spans="1:25" ht="13.5">
      <c r="A8" s="179">
        <v>3</v>
      </c>
      <c r="B8" s="180" t="s">
        <v>59</v>
      </c>
      <c r="C8" s="204">
        <v>1672</v>
      </c>
      <c r="D8" s="204">
        <v>9425.68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87</v>
      </c>
      <c r="L8" s="204">
        <v>3741</v>
      </c>
      <c r="M8" s="207">
        <v>877</v>
      </c>
      <c r="N8" s="207">
        <v>3741</v>
      </c>
      <c r="O8" s="204">
        <v>84</v>
      </c>
      <c r="P8" s="204">
        <v>3422</v>
      </c>
      <c r="Q8" s="204">
        <v>209</v>
      </c>
      <c r="R8" s="204">
        <v>4337.5</v>
      </c>
      <c r="S8" s="204">
        <v>18</v>
      </c>
      <c r="T8" s="204">
        <v>15.75</v>
      </c>
      <c r="U8" s="204">
        <v>0</v>
      </c>
      <c r="V8" s="204">
        <v>0</v>
      </c>
      <c r="W8" s="207">
        <f t="shared" si="0"/>
        <v>1188</v>
      </c>
      <c r="X8" s="207">
        <f t="shared" si="0"/>
        <v>11516.25</v>
      </c>
      <c r="Y8" s="194">
        <f t="shared" si="1"/>
        <v>122.17951383878935</v>
      </c>
    </row>
    <row r="9" spans="1:25" ht="13.5">
      <c r="A9" s="179">
        <v>4</v>
      </c>
      <c r="B9" s="180" t="s">
        <v>60</v>
      </c>
      <c r="C9" s="204">
        <v>5625</v>
      </c>
      <c r="D9" s="204">
        <v>48136.76</v>
      </c>
      <c r="E9" s="204">
        <v>5751</v>
      </c>
      <c r="F9" s="204">
        <v>9259</v>
      </c>
      <c r="G9" s="204">
        <v>5</v>
      </c>
      <c r="H9" s="204">
        <v>321</v>
      </c>
      <c r="I9" s="204">
        <v>19</v>
      </c>
      <c r="J9" s="204">
        <v>2169</v>
      </c>
      <c r="K9" s="204">
        <v>6</v>
      </c>
      <c r="L9" s="204">
        <v>1847</v>
      </c>
      <c r="M9" s="207">
        <f aca="true" t="shared" si="2" ref="M9:N57">G9+I9+K9</f>
        <v>30</v>
      </c>
      <c r="N9" s="207">
        <f t="shared" si="2"/>
        <v>4337</v>
      </c>
      <c r="O9" s="204">
        <v>66</v>
      </c>
      <c r="P9" s="204">
        <v>42</v>
      </c>
      <c r="Q9" s="204">
        <v>536</v>
      </c>
      <c r="R9" s="204">
        <v>1474</v>
      </c>
      <c r="S9" s="204">
        <v>1008</v>
      </c>
      <c r="T9" s="204">
        <v>1674</v>
      </c>
      <c r="U9" s="204">
        <v>439</v>
      </c>
      <c r="V9" s="204">
        <v>1083.11</v>
      </c>
      <c r="W9" s="207">
        <f t="shared" si="0"/>
        <v>7830</v>
      </c>
      <c r="X9" s="207">
        <f t="shared" si="0"/>
        <v>17869.11</v>
      </c>
      <c r="Y9" s="194">
        <f t="shared" si="1"/>
        <v>37.12154702559956</v>
      </c>
    </row>
    <row r="10" spans="1:25" ht="13.5">
      <c r="A10" s="179">
        <v>5</v>
      </c>
      <c r="B10" s="180" t="s">
        <v>61</v>
      </c>
      <c r="C10" s="204">
        <v>3211</v>
      </c>
      <c r="D10" s="204">
        <v>11082.94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7">
        <f t="shared" si="2"/>
        <v>0</v>
      </c>
      <c r="N10" s="207">
        <f t="shared" si="2"/>
        <v>0</v>
      </c>
      <c r="O10" s="204">
        <v>10</v>
      </c>
      <c r="P10" s="204">
        <v>35.8</v>
      </c>
      <c r="Q10" s="204">
        <v>67</v>
      </c>
      <c r="R10" s="204">
        <v>802</v>
      </c>
      <c r="S10" s="204">
        <v>0</v>
      </c>
      <c r="T10" s="204">
        <v>0</v>
      </c>
      <c r="U10" s="204">
        <v>1930</v>
      </c>
      <c r="V10" s="204">
        <v>2269</v>
      </c>
      <c r="W10" s="207">
        <f t="shared" si="0"/>
        <v>2007</v>
      </c>
      <c r="X10" s="207">
        <f t="shared" si="0"/>
        <v>3106.8</v>
      </c>
      <c r="Y10" s="194">
        <f t="shared" si="1"/>
        <v>28.032273025027653</v>
      </c>
    </row>
    <row r="11" spans="1:25" ht="13.5">
      <c r="A11" s="179">
        <v>6</v>
      </c>
      <c r="B11" s="121" t="s">
        <v>289</v>
      </c>
      <c r="C11" s="204">
        <v>12</v>
      </c>
      <c r="D11" s="204">
        <v>12.52</v>
      </c>
      <c r="E11" s="204">
        <v>0</v>
      </c>
      <c r="F11" s="204">
        <v>0</v>
      </c>
      <c r="G11" s="204">
        <v>15</v>
      </c>
      <c r="H11" s="204">
        <v>35.87</v>
      </c>
      <c r="I11" s="204">
        <v>0</v>
      </c>
      <c r="J11" s="204">
        <v>0</v>
      </c>
      <c r="K11" s="204">
        <v>0</v>
      </c>
      <c r="L11" s="204">
        <v>0</v>
      </c>
      <c r="M11" s="207">
        <f t="shared" si="2"/>
        <v>15</v>
      </c>
      <c r="N11" s="207">
        <f t="shared" si="2"/>
        <v>35.87</v>
      </c>
      <c r="O11" s="204">
        <v>1</v>
      </c>
      <c r="P11" s="204">
        <v>2.52</v>
      </c>
      <c r="Q11" s="204">
        <v>4</v>
      </c>
      <c r="R11" s="204">
        <v>48.03</v>
      </c>
      <c r="S11" s="204">
        <v>0</v>
      </c>
      <c r="T11" s="204">
        <v>0</v>
      </c>
      <c r="U11" s="204">
        <v>188</v>
      </c>
      <c r="V11" s="204">
        <v>86.42</v>
      </c>
      <c r="W11" s="207">
        <f t="shared" si="0"/>
        <v>208</v>
      </c>
      <c r="X11" s="207">
        <f t="shared" si="0"/>
        <v>172.84</v>
      </c>
      <c r="Y11" s="194">
        <f t="shared" si="1"/>
        <v>1380.5111821086261</v>
      </c>
    </row>
    <row r="12" spans="1:25" ht="13.5">
      <c r="A12" s="179">
        <v>7</v>
      </c>
      <c r="B12" s="180" t="s">
        <v>62</v>
      </c>
      <c r="C12" s="204">
        <v>2287</v>
      </c>
      <c r="D12" s="204">
        <v>11770.89</v>
      </c>
      <c r="E12" s="204">
        <v>0</v>
      </c>
      <c r="F12" s="204">
        <v>0</v>
      </c>
      <c r="G12" s="204">
        <v>3</v>
      </c>
      <c r="H12" s="204">
        <v>75</v>
      </c>
      <c r="I12" s="204">
        <v>1</v>
      </c>
      <c r="J12" s="204">
        <v>105</v>
      </c>
      <c r="K12" s="204">
        <v>0</v>
      </c>
      <c r="L12" s="204">
        <v>0</v>
      </c>
      <c r="M12" s="207">
        <f t="shared" si="2"/>
        <v>4</v>
      </c>
      <c r="N12" s="207">
        <f t="shared" si="2"/>
        <v>180</v>
      </c>
      <c r="O12" s="204">
        <v>16</v>
      </c>
      <c r="P12" s="204">
        <v>35</v>
      </c>
      <c r="Q12" s="204">
        <v>307</v>
      </c>
      <c r="R12" s="204">
        <v>1016</v>
      </c>
      <c r="S12" s="204">
        <v>504</v>
      </c>
      <c r="T12" s="204">
        <v>1558</v>
      </c>
      <c r="U12" s="204">
        <v>1121</v>
      </c>
      <c r="V12" s="204">
        <v>4035</v>
      </c>
      <c r="W12" s="207">
        <f t="shared" si="0"/>
        <v>1952</v>
      </c>
      <c r="X12" s="207">
        <f t="shared" si="0"/>
        <v>6824</v>
      </c>
      <c r="Y12" s="194">
        <f t="shared" si="1"/>
        <v>57.97352621594459</v>
      </c>
    </row>
    <row r="13" spans="1:25" ht="13.5">
      <c r="A13" s="179">
        <v>8</v>
      </c>
      <c r="B13" s="180" t="s">
        <v>63</v>
      </c>
      <c r="C13" s="204">
        <v>4438</v>
      </c>
      <c r="D13" s="204">
        <v>24031.3</v>
      </c>
      <c r="E13" s="204">
        <v>0</v>
      </c>
      <c r="F13" s="204">
        <v>0</v>
      </c>
      <c r="G13" s="204">
        <v>0</v>
      </c>
      <c r="H13" s="204">
        <v>0</v>
      </c>
      <c r="I13" s="180">
        <v>0</v>
      </c>
      <c r="J13" s="180">
        <v>0</v>
      </c>
      <c r="K13" s="204">
        <v>2</v>
      </c>
      <c r="L13" s="204">
        <v>1293</v>
      </c>
      <c r="M13" s="207">
        <f t="shared" si="2"/>
        <v>2</v>
      </c>
      <c r="N13" s="207">
        <f t="shared" si="2"/>
        <v>1293</v>
      </c>
      <c r="O13" s="204">
        <v>18</v>
      </c>
      <c r="P13" s="204">
        <v>55.98</v>
      </c>
      <c r="Q13" s="204">
        <v>12</v>
      </c>
      <c r="R13" s="204">
        <v>472</v>
      </c>
      <c r="S13" s="204">
        <v>242</v>
      </c>
      <c r="T13" s="204">
        <v>611.05</v>
      </c>
      <c r="U13" s="204">
        <v>1</v>
      </c>
      <c r="V13" s="204">
        <v>25001.78082</v>
      </c>
      <c r="W13" s="207">
        <f t="shared" si="0"/>
        <v>275</v>
      </c>
      <c r="X13" s="207">
        <f t="shared" si="0"/>
        <v>27433.81082</v>
      </c>
      <c r="Y13" s="194">
        <f t="shared" si="1"/>
        <v>114.15866316012867</v>
      </c>
    </row>
    <row r="14" spans="1:25" ht="13.5">
      <c r="A14" s="179">
        <v>9</v>
      </c>
      <c r="B14" s="180" t="s">
        <v>50</v>
      </c>
      <c r="C14" s="204">
        <v>455</v>
      </c>
      <c r="D14" s="204">
        <v>1817.45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2</v>
      </c>
      <c r="L14" s="204">
        <v>22.636</v>
      </c>
      <c r="M14" s="207">
        <f t="shared" si="2"/>
        <v>2</v>
      </c>
      <c r="N14" s="207">
        <f t="shared" si="2"/>
        <v>22.636</v>
      </c>
      <c r="O14" s="204">
        <v>3</v>
      </c>
      <c r="P14" s="204">
        <v>45</v>
      </c>
      <c r="Q14" s="204">
        <v>197</v>
      </c>
      <c r="R14" s="204">
        <v>4698</v>
      </c>
      <c r="S14" s="204">
        <v>372</v>
      </c>
      <c r="T14" s="204">
        <v>185</v>
      </c>
      <c r="U14" s="204">
        <v>0</v>
      </c>
      <c r="V14" s="204">
        <v>0</v>
      </c>
      <c r="W14" s="207">
        <f t="shared" si="0"/>
        <v>574</v>
      </c>
      <c r="X14" s="207">
        <f t="shared" si="0"/>
        <v>4950.636</v>
      </c>
      <c r="Y14" s="194">
        <f t="shared" si="1"/>
        <v>272.39461883408075</v>
      </c>
    </row>
    <row r="15" spans="1:25" ht="13.5">
      <c r="A15" s="179">
        <v>10</v>
      </c>
      <c r="B15" s="180" t="s">
        <v>51</v>
      </c>
      <c r="C15" s="204">
        <v>1072</v>
      </c>
      <c r="D15" s="204">
        <v>5705.69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7">
        <f t="shared" si="2"/>
        <v>0</v>
      </c>
      <c r="N15" s="207">
        <f t="shared" si="2"/>
        <v>0</v>
      </c>
      <c r="O15" s="204">
        <v>0</v>
      </c>
      <c r="P15" s="204">
        <v>0</v>
      </c>
      <c r="Q15" s="204">
        <v>27</v>
      </c>
      <c r="R15" s="204">
        <v>468</v>
      </c>
      <c r="S15" s="204">
        <v>34</v>
      </c>
      <c r="T15" s="204">
        <v>30</v>
      </c>
      <c r="U15" s="204">
        <v>668</v>
      </c>
      <c r="V15" s="204">
        <v>58634</v>
      </c>
      <c r="W15" s="207">
        <f t="shared" si="0"/>
        <v>729</v>
      </c>
      <c r="X15" s="207">
        <f t="shared" si="0"/>
        <v>59132</v>
      </c>
      <c r="Y15" s="194">
        <f t="shared" si="1"/>
        <v>1036.3689580050793</v>
      </c>
    </row>
    <row r="16" spans="1:25" s="85" customFormat="1" ht="13.5">
      <c r="A16" s="79">
        <v>11</v>
      </c>
      <c r="B16" s="80" t="s">
        <v>290</v>
      </c>
      <c r="C16" s="131">
        <v>975</v>
      </c>
      <c r="D16" s="131">
        <v>9763.62</v>
      </c>
      <c r="E16" s="131">
        <v>7</v>
      </c>
      <c r="F16" s="131">
        <v>12</v>
      </c>
      <c r="G16" s="131">
        <v>28</v>
      </c>
      <c r="H16" s="131">
        <v>599</v>
      </c>
      <c r="I16" s="131">
        <v>103</v>
      </c>
      <c r="J16" s="131">
        <v>8215.68</v>
      </c>
      <c r="K16" s="131">
        <v>0</v>
      </c>
      <c r="L16" s="131">
        <v>0</v>
      </c>
      <c r="M16" s="207">
        <f>G16+I16+K16</f>
        <v>131</v>
      </c>
      <c r="N16" s="207">
        <f>H16+J16+L16</f>
        <v>8814.68</v>
      </c>
      <c r="O16" s="131">
        <v>0</v>
      </c>
      <c r="P16" s="131">
        <v>0</v>
      </c>
      <c r="Q16" s="131">
        <v>60</v>
      </c>
      <c r="R16" s="131">
        <v>133.13</v>
      </c>
      <c r="S16" s="131">
        <v>737</v>
      </c>
      <c r="T16" s="131">
        <v>2438.96</v>
      </c>
      <c r="U16" s="131">
        <v>90</v>
      </c>
      <c r="V16" s="131">
        <v>1940.51</v>
      </c>
      <c r="W16" s="207">
        <f>E16+M16+O16+Q16+S16+U16</f>
        <v>1025</v>
      </c>
      <c r="X16" s="207">
        <f>F16+N16+P16+R16+T16+V16</f>
        <v>13339.28</v>
      </c>
      <c r="Y16" s="132">
        <f t="shared" si="1"/>
        <v>136.6222773930161</v>
      </c>
    </row>
    <row r="17" spans="1:25" ht="13.5">
      <c r="A17" s="179">
        <v>12</v>
      </c>
      <c r="B17" s="180" t="s">
        <v>64</v>
      </c>
      <c r="C17" s="204">
        <v>454</v>
      </c>
      <c r="D17" s="204">
        <v>2249.65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7">
        <f t="shared" si="2"/>
        <v>0</v>
      </c>
      <c r="N17" s="207">
        <f t="shared" si="2"/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359</v>
      </c>
      <c r="V17" s="204">
        <v>50824.78</v>
      </c>
      <c r="W17" s="207">
        <f t="shared" si="0"/>
        <v>359</v>
      </c>
      <c r="X17" s="207">
        <f t="shared" si="0"/>
        <v>50824.78</v>
      </c>
      <c r="Y17" s="194">
        <f t="shared" si="1"/>
        <v>2259.2305469739736</v>
      </c>
    </row>
    <row r="18" spans="1:25" ht="13.5">
      <c r="A18" s="179">
        <v>13</v>
      </c>
      <c r="B18" s="180" t="s">
        <v>65</v>
      </c>
      <c r="C18" s="204">
        <v>608</v>
      </c>
      <c r="D18" s="204">
        <v>2397.69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7">
        <f t="shared" si="2"/>
        <v>0</v>
      </c>
      <c r="N18" s="207">
        <f t="shared" si="2"/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312</v>
      </c>
      <c r="T18" s="204">
        <v>1734.44</v>
      </c>
      <c r="U18" s="204">
        <v>71</v>
      </c>
      <c r="V18" s="204">
        <v>410.29</v>
      </c>
      <c r="W18" s="207">
        <f t="shared" si="0"/>
        <v>383</v>
      </c>
      <c r="X18" s="207">
        <f t="shared" si="0"/>
        <v>2144.73</v>
      </c>
      <c r="Y18" s="194">
        <f t="shared" si="1"/>
        <v>89.44984547627091</v>
      </c>
    </row>
    <row r="19" spans="1:25" ht="13.5">
      <c r="A19" s="179">
        <v>14</v>
      </c>
      <c r="B19" s="122" t="s">
        <v>338</v>
      </c>
      <c r="C19" s="204">
        <v>2210</v>
      </c>
      <c r="D19" s="204">
        <v>7391.14</v>
      </c>
      <c r="E19" s="204">
        <v>0</v>
      </c>
      <c r="F19" s="204">
        <v>0</v>
      </c>
      <c r="G19" s="204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7">
        <f t="shared" si="2"/>
        <v>0</v>
      </c>
      <c r="N19" s="207">
        <f t="shared" si="2"/>
        <v>0</v>
      </c>
      <c r="O19" s="204">
        <v>0</v>
      </c>
      <c r="P19" s="204">
        <v>0</v>
      </c>
      <c r="Q19" s="204">
        <v>5</v>
      </c>
      <c r="R19" s="204">
        <v>69.12</v>
      </c>
      <c r="S19" s="204">
        <v>107</v>
      </c>
      <c r="T19" s="204">
        <v>239.82</v>
      </c>
      <c r="U19" s="204">
        <v>228</v>
      </c>
      <c r="V19" s="204">
        <v>598.37</v>
      </c>
      <c r="W19" s="207">
        <f t="shared" si="0"/>
        <v>340</v>
      </c>
      <c r="X19" s="207">
        <f t="shared" si="0"/>
        <v>907.31</v>
      </c>
      <c r="Y19" s="194">
        <f t="shared" si="1"/>
        <v>12.275643540779907</v>
      </c>
    </row>
    <row r="20" spans="1:25" ht="13.5">
      <c r="A20" s="179">
        <v>15</v>
      </c>
      <c r="B20" s="180" t="s">
        <v>292</v>
      </c>
      <c r="C20" s="204">
        <v>1222</v>
      </c>
      <c r="D20" s="204">
        <v>4287.4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7">
        <f t="shared" si="2"/>
        <v>0</v>
      </c>
      <c r="N20" s="207">
        <f t="shared" si="2"/>
        <v>0</v>
      </c>
      <c r="O20" s="204">
        <v>0</v>
      </c>
      <c r="P20" s="204">
        <v>0</v>
      </c>
      <c r="Q20" s="204">
        <v>3</v>
      </c>
      <c r="R20" s="204">
        <v>61.54</v>
      </c>
      <c r="S20" s="204">
        <v>11</v>
      </c>
      <c r="T20" s="204">
        <v>17</v>
      </c>
      <c r="U20" s="204">
        <v>156</v>
      </c>
      <c r="V20" s="204">
        <v>692</v>
      </c>
      <c r="W20" s="207">
        <f t="shared" si="0"/>
        <v>170</v>
      </c>
      <c r="X20" s="207">
        <f t="shared" si="0"/>
        <v>770.54</v>
      </c>
      <c r="Y20" s="194">
        <f t="shared" si="1"/>
        <v>17.972197602276438</v>
      </c>
    </row>
    <row r="21" spans="1:25" ht="13.5">
      <c r="A21" s="179">
        <v>16</v>
      </c>
      <c r="B21" s="180" t="s">
        <v>66</v>
      </c>
      <c r="C21" s="204">
        <v>2053</v>
      </c>
      <c r="D21" s="204">
        <v>16716.32</v>
      </c>
      <c r="E21" s="204">
        <v>7</v>
      </c>
      <c r="F21" s="204">
        <v>24264</v>
      </c>
      <c r="G21" s="204">
        <v>7</v>
      </c>
      <c r="H21" s="204">
        <v>1108</v>
      </c>
      <c r="I21" s="204">
        <v>21</v>
      </c>
      <c r="J21" s="204">
        <v>11469</v>
      </c>
      <c r="K21" s="204">
        <v>2</v>
      </c>
      <c r="L21" s="204">
        <v>2966</v>
      </c>
      <c r="M21" s="207">
        <f t="shared" si="2"/>
        <v>30</v>
      </c>
      <c r="N21" s="207">
        <f t="shared" si="2"/>
        <v>15543</v>
      </c>
      <c r="O21" s="204">
        <v>3</v>
      </c>
      <c r="P21" s="204">
        <v>11</v>
      </c>
      <c r="Q21" s="204">
        <v>169</v>
      </c>
      <c r="R21" s="204">
        <v>2699</v>
      </c>
      <c r="S21" s="204">
        <v>8362</v>
      </c>
      <c r="T21" s="204">
        <v>22644</v>
      </c>
      <c r="U21" s="204">
        <v>1086</v>
      </c>
      <c r="V21" s="204">
        <v>76638</v>
      </c>
      <c r="W21" s="207">
        <f t="shared" si="0"/>
        <v>9657</v>
      </c>
      <c r="X21" s="207">
        <f t="shared" si="0"/>
        <v>141799</v>
      </c>
      <c r="Y21" s="194">
        <f t="shared" si="1"/>
        <v>848.2668434200829</v>
      </c>
    </row>
    <row r="22" spans="1:25" ht="13.5">
      <c r="A22" s="179">
        <v>17</v>
      </c>
      <c r="B22" s="122" t="s">
        <v>67</v>
      </c>
      <c r="C22" s="204">
        <v>1249</v>
      </c>
      <c r="D22" s="204">
        <v>3242.55</v>
      </c>
      <c r="E22" s="204">
        <v>0</v>
      </c>
      <c r="F22" s="204">
        <v>0</v>
      </c>
      <c r="G22" s="204">
        <v>55</v>
      </c>
      <c r="H22" s="204">
        <v>173</v>
      </c>
      <c r="I22" s="204">
        <v>21</v>
      </c>
      <c r="J22" s="204">
        <v>277</v>
      </c>
      <c r="K22" s="204">
        <v>3</v>
      </c>
      <c r="L22" s="204">
        <v>16</v>
      </c>
      <c r="M22" s="207">
        <f t="shared" si="2"/>
        <v>79</v>
      </c>
      <c r="N22" s="207">
        <f t="shared" si="2"/>
        <v>466</v>
      </c>
      <c r="O22" s="204">
        <v>0</v>
      </c>
      <c r="P22" s="204">
        <v>0</v>
      </c>
      <c r="Q22" s="204">
        <v>32</v>
      </c>
      <c r="R22" s="204">
        <v>371</v>
      </c>
      <c r="S22" s="204">
        <v>273</v>
      </c>
      <c r="T22" s="204">
        <v>597</v>
      </c>
      <c r="U22" s="204">
        <v>1680</v>
      </c>
      <c r="V22" s="204">
        <v>3905</v>
      </c>
      <c r="W22" s="207">
        <f t="shared" si="0"/>
        <v>2064</v>
      </c>
      <c r="X22" s="207">
        <f t="shared" si="0"/>
        <v>5339</v>
      </c>
      <c r="Y22" s="194">
        <f t="shared" si="1"/>
        <v>164.65436153644507</v>
      </c>
    </row>
    <row r="23" spans="1:25" ht="13.5">
      <c r="A23" s="179">
        <v>18</v>
      </c>
      <c r="B23" s="80" t="s">
        <v>253</v>
      </c>
      <c r="C23" s="204">
        <v>2492</v>
      </c>
      <c r="D23" s="204">
        <v>8380.48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7">
        <f t="shared" si="2"/>
        <v>0</v>
      </c>
      <c r="N23" s="207">
        <f t="shared" si="2"/>
        <v>0</v>
      </c>
      <c r="O23" s="204">
        <v>3</v>
      </c>
      <c r="P23" s="204">
        <v>8</v>
      </c>
      <c r="Q23" s="204">
        <v>8</v>
      </c>
      <c r="R23" s="204">
        <v>329</v>
      </c>
      <c r="S23" s="204">
        <v>302</v>
      </c>
      <c r="T23" s="204">
        <v>1087</v>
      </c>
      <c r="U23" s="204">
        <v>105</v>
      </c>
      <c r="V23" s="204">
        <v>921</v>
      </c>
      <c r="W23" s="207">
        <f t="shared" si="0"/>
        <v>418</v>
      </c>
      <c r="X23" s="207">
        <f t="shared" si="0"/>
        <v>2345</v>
      </c>
      <c r="Y23" s="194">
        <f t="shared" si="1"/>
        <v>27.981690786207952</v>
      </c>
    </row>
    <row r="24" spans="1:25" ht="13.5">
      <c r="A24" s="179">
        <v>19</v>
      </c>
      <c r="B24" s="123" t="s">
        <v>68</v>
      </c>
      <c r="C24" s="204">
        <v>2625</v>
      </c>
      <c r="D24" s="204">
        <v>14948.68</v>
      </c>
      <c r="E24" s="204">
        <v>0</v>
      </c>
      <c r="F24" s="204">
        <v>0</v>
      </c>
      <c r="G24" s="204">
        <v>0</v>
      </c>
      <c r="H24" s="204">
        <v>0</v>
      </c>
      <c r="I24" s="204">
        <v>45</v>
      </c>
      <c r="J24" s="204">
        <v>5362.45</v>
      </c>
      <c r="K24" s="204">
        <v>0</v>
      </c>
      <c r="L24" s="204">
        <v>0</v>
      </c>
      <c r="M24" s="207">
        <f t="shared" si="2"/>
        <v>45</v>
      </c>
      <c r="N24" s="207">
        <f t="shared" si="2"/>
        <v>5362.45</v>
      </c>
      <c r="O24" s="204">
        <v>49</v>
      </c>
      <c r="P24" s="204">
        <v>51.885</v>
      </c>
      <c r="Q24" s="204">
        <v>753</v>
      </c>
      <c r="R24" s="204">
        <v>1639.86</v>
      </c>
      <c r="S24" s="204">
        <v>658</v>
      </c>
      <c r="T24" s="204">
        <v>2237.7</v>
      </c>
      <c r="U24" s="204">
        <v>1406</v>
      </c>
      <c r="V24" s="204">
        <v>9036.55</v>
      </c>
      <c r="W24" s="207">
        <f t="shared" si="0"/>
        <v>2911</v>
      </c>
      <c r="X24" s="207">
        <f t="shared" si="0"/>
        <v>18328.445</v>
      </c>
      <c r="Y24" s="194">
        <f t="shared" si="1"/>
        <v>122.60912000256879</v>
      </c>
    </row>
    <row r="25" spans="1:25" ht="13.5">
      <c r="A25" s="179">
        <v>20</v>
      </c>
      <c r="B25" s="180" t="s">
        <v>69</v>
      </c>
      <c r="C25" s="204">
        <v>183</v>
      </c>
      <c r="D25" s="204">
        <v>1268.45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7">
        <f t="shared" si="2"/>
        <v>0</v>
      </c>
      <c r="N25" s="207">
        <f t="shared" si="2"/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33</v>
      </c>
      <c r="V25" s="204">
        <v>66</v>
      </c>
      <c r="W25" s="207">
        <f t="shared" si="0"/>
        <v>33</v>
      </c>
      <c r="X25" s="207">
        <f t="shared" si="0"/>
        <v>66</v>
      </c>
      <c r="Y25" s="194">
        <f t="shared" si="1"/>
        <v>5.203200756829201</v>
      </c>
    </row>
    <row r="26" spans="1:25" ht="13.5">
      <c r="A26" s="179">
        <v>21</v>
      </c>
      <c r="B26" s="180" t="s">
        <v>52</v>
      </c>
      <c r="C26" s="204">
        <v>742</v>
      </c>
      <c r="D26" s="204">
        <v>966.83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7">
        <f t="shared" si="2"/>
        <v>0</v>
      </c>
      <c r="N26" s="207">
        <f t="shared" si="2"/>
        <v>0</v>
      </c>
      <c r="O26" s="204">
        <v>0</v>
      </c>
      <c r="P26" s="204">
        <v>0</v>
      </c>
      <c r="Q26" s="204">
        <v>16</v>
      </c>
      <c r="R26" s="204">
        <v>308.52</v>
      </c>
      <c r="S26" s="204">
        <v>35</v>
      </c>
      <c r="T26" s="204">
        <v>75.47</v>
      </c>
      <c r="U26" s="204">
        <v>41</v>
      </c>
      <c r="V26" s="204">
        <v>148.21</v>
      </c>
      <c r="W26" s="207">
        <f t="shared" si="0"/>
        <v>92</v>
      </c>
      <c r="X26" s="207">
        <f t="shared" si="0"/>
        <v>532.2</v>
      </c>
      <c r="Y26" s="194">
        <f t="shared" si="1"/>
        <v>55.045871559633035</v>
      </c>
    </row>
    <row r="27" spans="1:25" s="195" customFormat="1" ht="13.5">
      <c r="A27" s="182"/>
      <c r="B27" s="183" t="s">
        <v>293</v>
      </c>
      <c r="C27" s="207">
        <f>SUM(C6:C26)</f>
        <v>40460</v>
      </c>
      <c r="D27" s="207">
        <f aca="true" t="shared" si="3" ref="D27:V27">SUM(D6:D26)</f>
        <v>188069.6</v>
      </c>
      <c r="E27" s="207">
        <f t="shared" si="3"/>
        <v>5765</v>
      </c>
      <c r="F27" s="207">
        <f t="shared" si="3"/>
        <v>33535</v>
      </c>
      <c r="G27" s="207">
        <f t="shared" si="3"/>
        <v>114</v>
      </c>
      <c r="H27" s="207">
        <f t="shared" si="3"/>
        <v>2336.87</v>
      </c>
      <c r="I27" s="207">
        <f t="shared" si="3"/>
        <v>210</v>
      </c>
      <c r="J27" s="207">
        <f t="shared" si="3"/>
        <v>27598.13</v>
      </c>
      <c r="K27" s="207">
        <f t="shared" si="3"/>
        <v>104</v>
      </c>
      <c r="L27" s="207">
        <f t="shared" si="3"/>
        <v>11885.636</v>
      </c>
      <c r="M27" s="207">
        <f t="shared" si="3"/>
        <v>1218</v>
      </c>
      <c r="N27" s="207">
        <f t="shared" si="3"/>
        <v>41820.636</v>
      </c>
      <c r="O27" s="207">
        <f t="shared" si="3"/>
        <v>254</v>
      </c>
      <c r="P27" s="207">
        <f t="shared" si="3"/>
        <v>3718.7650000000003</v>
      </c>
      <c r="Q27" s="207">
        <f t="shared" si="3"/>
        <v>2429</v>
      </c>
      <c r="R27" s="207">
        <f t="shared" si="3"/>
        <v>19080.440000000002</v>
      </c>
      <c r="S27" s="207">
        <f t="shared" si="3"/>
        <v>13735</v>
      </c>
      <c r="T27" s="207">
        <f t="shared" si="3"/>
        <v>36670.93</v>
      </c>
      <c r="U27" s="207">
        <f t="shared" si="3"/>
        <v>9920</v>
      </c>
      <c r="V27" s="207">
        <f t="shared" si="3"/>
        <v>238842.76081999997</v>
      </c>
      <c r="W27" s="207">
        <f t="shared" si="0"/>
        <v>33321</v>
      </c>
      <c r="X27" s="207">
        <f t="shared" si="0"/>
        <v>373668.53182</v>
      </c>
      <c r="Y27" s="181">
        <f t="shared" si="1"/>
        <v>198.6863011459587</v>
      </c>
    </row>
    <row r="28" spans="1:25" ht="13.5">
      <c r="A28" s="179">
        <v>22</v>
      </c>
      <c r="B28" s="180" t="s">
        <v>294</v>
      </c>
      <c r="C28" s="204">
        <v>396</v>
      </c>
      <c r="D28" s="204">
        <v>2032.35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7">
        <f t="shared" si="2"/>
        <v>0</v>
      </c>
      <c r="N28" s="207">
        <f t="shared" si="2"/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204">
        <v>0</v>
      </c>
      <c r="V28" s="204">
        <v>0</v>
      </c>
      <c r="W28" s="207">
        <f t="shared" si="0"/>
        <v>0</v>
      </c>
      <c r="X28" s="207">
        <f t="shared" si="0"/>
        <v>0</v>
      </c>
      <c r="Y28" s="194">
        <f t="shared" si="1"/>
        <v>0</v>
      </c>
    </row>
    <row r="29" spans="1:25" ht="13.5">
      <c r="A29" s="179">
        <v>23</v>
      </c>
      <c r="B29" s="180" t="s">
        <v>295</v>
      </c>
      <c r="C29" s="204">
        <v>14</v>
      </c>
      <c r="D29" s="204">
        <v>146.68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7">
        <f t="shared" si="2"/>
        <v>0</v>
      </c>
      <c r="N29" s="207">
        <f t="shared" si="2"/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7">
        <f t="shared" si="0"/>
        <v>0</v>
      </c>
      <c r="X29" s="207">
        <f t="shared" si="0"/>
        <v>0</v>
      </c>
      <c r="Y29" s="194">
        <f t="shared" si="1"/>
        <v>0</v>
      </c>
    </row>
    <row r="30" spans="1:25" ht="13.5">
      <c r="A30" s="179">
        <v>24</v>
      </c>
      <c r="B30" s="180" t="s">
        <v>296</v>
      </c>
      <c r="C30" s="204">
        <v>246</v>
      </c>
      <c r="D30" s="204">
        <v>1393.96</v>
      </c>
      <c r="E30" s="204">
        <v>0</v>
      </c>
      <c r="F30" s="204">
        <v>0</v>
      </c>
      <c r="G30" s="204">
        <v>2</v>
      </c>
      <c r="H30" s="204">
        <v>3.6</v>
      </c>
      <c r="I30" s="204">
        <v>0</v>
      </c>
      <c r="J30" s="204">
        <v>0</v>
      </c>
      <c r="K30" s="204">
        <v>0</v>
      </c>
      <c r="L30" s="204">
        <v>0</v>
      </c>
      <c r="M30" s="207">
        <f t="shared" si="2"/>
        <v>2</v>
      </c>
      <c r="N30" s="207">
        <f t="shared" si="2"/>
        <v>3.6</v>
      </c>
      <c r="O30" s="204">
        <v>0</v>
      </c>
      <c r="P30" s="204">
        <v>0</v>
      </c>
      <c r="Q30" s="204">
        <v>8</v>
      </c>
      <c r="R30" s="204">
        <v>60.65</v>
      </c>
      <c r="S30" s="204">
        <v>2</v>
      </c>
      <c r="T30" s="204">
        <v>3</v>
      </c>
      <c r="U30" s="204">
        <v>2</v>
      </c>
      <c r="V30" s="204">
        <v>7</v>
      </c>
      <c r="W30" s="207">
        <f t="shared" si="0"/>
        <v>14</v>
      </c>
      <c r="X30" s="207">
        <f t="shared" si="0"/>
        <v>74.25</v>
      </c>
      <c r="Y30" s="194">
        <f t="shared" si="1"/>
        <v>5.3265516944532125</v>
      </c>
    </row>
    <row r="31" spans="1:25" ht="13.5">
      <c r="A31" s="179">
        <v>25</v>
      </c>
      <c r="B31" s="121" t="s">
        <v>297</v>
      </c>
      <c r="C31" s="204">
        <v>104</v>
      </c>
      <c r="D31" s="204">
        <v>1111.7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7">
        <f t="shared" si="2"/>
        <v>0</v>
      </c>
      <c r="N31" s="207">
        <f t="shared" si="2"/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7">
        <f t="shared" si="0"/>
        <v>0</v>
      </c>
      <c r="X31" s="207">
        <f t="shared" si="0"/>
        <v>0</v>
      </c>
      <c r="Y31" s="194">
        <f t="shared" si="1"/>
        <v>0</v>
      </c>
    </row>
    <row r="32" spans="1:25" ht="13.5">
      <c r="A32" s="179">
        <v>26</v>
      </c>
      <c r="B32" s="180" t="s">
        <v>298</v>
      </c>
      <c r="C32" s="204">
        <v>377</v>
      </c>
      <c r="D32" s="204">
        <v>2598.49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7">
        <f t="shared" si="2"/>
        <v>0</v>
      </c>
      <c r="N32" s="207">
        <f t="shared" si="2"/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7">
        <f t="shared" si="0"/>
        <v>0</v>
      </c>
      <c r="X32" s="207">
        <f t="shared" si="0"/>
        <v>0</v>
      </c>
      <c r="Y32" s="194">
        <f t="shared" si="1"/>
        <v>0</v>
      </c>
    </row>
    <row r="33" spans="1:25" ht="13.5">
      <c r="A33" s="179">
        <v>27</v>
      </c>
      <c r="B33" s="180" t="s">
        <v>72</v>
      </c>
      <c r="C33" s="204">
        <v>5819</v>
      </c>
      <c r="D33" s="204">
        <v>91453.14</v>
      </c>
      <c r="E33" s="204">
        <v>0</v>
      </c>
      <c r="F33" s="204">
        <v>0</v>
      </c>
      <c r="G33" s="204"/>
      <c r="H33" s="204">
        <v>0</v>
      </c>
      <c r="I33" s="204"/>
      <c r="J33" s="204">
        <v>0</v>
      </c>
      <c r="K33" s="204"/>
      <c r="L33" s="204">
        <v>0</v>
      </c>
      <c r="M33" s="207">
        <f t="shared" si="2"/>
        <v>0</v>
      </c>
      <c r="N33" s="207">
        <f t="shared" si="2"/>
        <v>0</v>
      </c>
      <c r="O33" s="204">
        <v>111</v>
      </c>
      <c r="P33" s="204">
        <v>1686</v>
      </c>
      <c r="Q33" s="204">
        <v>41</v>
      </c>
      <c r="R33" s="204">
        <v>1182</v>
      </c>
      <c r="S33" s="204">
        <v>22115</v>
      </c>
      <c r="T33" s="204">
        <v>31100</v>
      </c>
      <c r="U33" s="204">
        <v>12</v>
      </c>
      <c r="V33" s="204">
        <v>173207</v>
      </c>
      <c r="W33" s="207">
        <f t="shared" si="0"/>
        <v>22279</v>
      </c>
      <c r="X33" s="207">
        <f t="shared" si="0"/>
        <v>207175</v>
      </c>
      <c r="Y33" s="194">
        <f t="shared" si="1"/>
        <v>226.53678156922768</v>
      </c>
    </row>
    <row r="34" spans="1:25" s="195" customFormat="1" ht="13.5">
      <c r="A34" s="182"/>
      <c r="B34" s="183" t="s">
        <v>299</v>
      </c>
      <c r="C34" s="207">
        <f>SUM(C28:C33)</f>
        <v>6956</v>
      </c>
      <c r="D34" s="207">
        <f aca="true" t="shared" si="4" ref="D34:V34">SUM(D28:D33)</f>
        <v>98736.31999999999</v>
      </c>
      <c r="E34" s="207">
        <f t="shared" si="4"/>
        <v>0</v>
      </c>
      <c r="F34" s="207">
        <f t="shared" si="4"/>
        <v>0</v>
      </c>
      <c r="G34" s="207">
        <f t="shared" si="4"/>
        <v>2</v>
      </c>
      <c r="H34" s="207">
        <f t="shared" si="4"/>
        <v>3.6</v>
      </c>
      <c r="I34" s="207">
        <f t="shared" si="4"/>
        <v>0</v>
      </c>
      <c r="J34" s="207">
        <f t="shared" si="4"/>
        <v>0</v>
      </c>
      <c r="K34" s="207">
        <f t="shared" si="4"/>
        <v>0</v>
      </c>
      <c r="L34" s="207">
        <f t="shared" si="4"/>
        <v>0</v>
      </c>
      <c r="M34" s="207">
        <f t="shared" si="4"/>
        <v>2</v>
      </c>
      <c r="N34" s="207">
        <f t="shared" si="4"/>
        <v>3.6</v>
      </c>
      <c r="O34" s="207">
        <f t="shared" si="4"/>
        <v>111</v>
      </c>
      <c r="P34" s="207">
        <f t="shared" si="4"/>
        <v>1686</v>
      </c>
      <c r="Q34" s="207">
        <f t="shared" si="4"/>
        <v>49</v>
      </c>
      <c r="R34" s="207">
        <f t="shared" si="4"/>
        <v>1242.65</v>
      </c>
      <c r="S34" s="207">
        <f t="shared" si="4"/>
        <v>22117</v>
      </c>
      <c r="T34" s="207">
        <f t="shared" si="4"/>
        <v>31103</v>
      </c>
      <c r="U34" s="207">
        <f t="shared" si="4"/>
        <v>14</v>
      </c>
      <c r="V34" s="207">
        <f t="shared" si="4"/>
        <v>173214</v>
      </c>
      <c r="W34" s="207">
        <f t="shared" si="0"/>
        <v>22293</v>
      </c>
      <c r="X34" s="207">
        <f t="shared" si="0"/>
        <v>207249.25</v>
      </c>
      <c r="Y34" s="181">
        <f t="shared" si="1"/>
        <v>209.90173626078024</v>
      </c>
    </row>
    <row r="35" spans="1:25" ht="13.5">
      <c r="A35" s="179">
        <v>28</v>
      </c>
      <c r="B35" s="180" t="s">
        <v>49</v>
      </c>
      <c r="C35" s="204">
        <v>1790</v>
      </c>
      <c r="D35" s="204">
        <v>9602.82</v>
      </c>
      <c r="E35" s="204">
        <v>0</v>
      </c>
      <c r="F35" s="204">
        <v>0</v>
      </c>
      <c r="G35" s="204">
        <v>10</v>
      </c>
      <c r="H35" s="204">
        <v>133.37</v>
      </c>
      <c r="I35" s="204">
        <v>0</v>
      </c>
      <c r="J35" s="204">
        <v>0</v>
      </c>
      <c r="K35" s="204">
        <v>16</v>
      </c>
      <c r="L35" s="204">
        <v>2303.93</v>
      </c>
      <c r="M35" s="207">
        <f t="shared" si="2"/>
        <v>26</v>
      </c>
      <c r="N35" s="207">
        <f t="shared" si="2"/>
        <v>2437.2999999999997</v>
      </c>
      <c r="O35" s="204">
        <v>6</v>
      </c>
      <c r="P35" s="204">
        <v>43.65</v>
      </c>
      <c r="Q35" s="204">
        <v>208</v>
      </c>
      <c r="R35" s="204">
        <v>5184.79</v>
      </c>
      <c r="S35" s="204">
        <v>435</v>
      </c>
      <c r="T35" s="204">
        <v>4198.17</v>
      </c>
      <c r="U35" s="204">
        <v>3064</v>
      </c>
      <c r="V35" s="204">
        <v>12677.99</v>
      </c>
      <c r="W35" s="207">
        <f t="shared" si="0"/>
        <v>3739</v>
      </c>
      <c r="X35" s="207">
        <f t="shared" si="0"/>
        <v>24541.9</v>
      </c>
      <c r="Y35" s="194">
        <f t="shared" si="1"/>
        <v>255.56971806198595</v>
      </c>
    </row>
    <row r="36" spans="1:25" ht="13.5">
      <c r="A36" s="179">
        <v>29</v>
      </c>
      <c r="B36" s="180" t="s">
        <v>53</v>
      </c>
      <c r="C36" s="204">
        <v>4</v>
      </c>
      <c r="D36" s="204">
        <v>35.24</v>
      </c>
      <c r="E36" s="204">
        <v>0</v>
      </c>
      <c r="F36" s="204">
        <v>0</v>
      </c>
      <c r="G36" s="204">
        <v>0</v>
      </c>
      <c r="H36" s="204">
        <v>0</v>
      </c>
      <c r="I36" s="204">
        <v>0</v>
      </c>
      <c r="J36" s="204">
        <v>0</v>
      </c>
      <c r="K36" s="204">
        <v>1</v>
      </c>
      <c r="L36" s="204">
        <v>25</v>
      </c>
      <c r="M36" s="207">
        <f t="shared" si="2"/>
        <v>1</v>
      </c>
      <c r="N36" s="207">
        <f t="shared" si="2"/>
        <v>25</v>
      </c>
      <c r="O36" s="204">
        <v>0</v>
      </c>
      <c r="P36" s="204">
        <v>0</v>
      </c>
      <c r="Q36" s="204">
        <v>0</v>
      </c>
      <c r="R36" s="204">
        <v>0</v>
      </c>
      <c r="S36" s="204">
        <v>17</v>
      </c>
      <c r="T36" s="204">
        <v>21.535</v>
      </c>
      <c r="U36" s="204">
        <v>0</v>
      </c>
      <c r="V36" s="204">
        <v>0</v>
      </c>
      <c r="W36" s="207">
        <f t="shared" si="0"/>
        <v>18</v>
      </c>
      <c r="X36" s="207">
        <f t="shared" si="0"/>
        <v>46.535</v>
      </c>
      <c r="Y36" s="194">
        <f t="shared" si="1"/>
        <v>132.05164585698068</v>
      </c>
    </row>
    <row r="37" spans="1:25" ht="13.5">
      <c r="A37" s="179">
        <v>30</v>
      </c>
      <c r="B37" s="180" t="s">
        <v>300</v>
      </c>
      <c r="C37" s="204">
        <v>4</v>
      </c>
      <c r="D37" s="204">
        <v>11.05</v>
      </c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7">
        <f t="shared" si="2"/>
        <v>0</v>
      </c>
      <c r="N37" s="207">
        <f t="shared" si="2"/>
        <v>0</v>
      </c>
      <c r="O37" s="204">
        <v>0</v>
      </c>
      <c r="P37" s="204">
        <v>0</v>
      </c>
      <c r="Q37" s="204">
        <v>0</v>
      </c>
      <c r="R37" s="204">
        <v>0</v>
      </c>
      <c r="S37" s="204">
        <v>0</v>
      </c>
      <c r="T37" s="204">
        <v>0</v>
      </c>
      <c r="U37" s="204">
        <v>0</v>
      </c>
      <c r="V37" s="204">
        <v>0</v>
      </c>
      <c r="W37" s="207">
        <f t="shared" si="0"/>
        <v>0</v>
      </c>
      <c r="X37" s="207">
        <f t="shared" si="0"/>
        <v>0</v>
      </c>
      <c r="Y37" s="194">
        <f t="shared" si="1"/>
        <v>0</v>
      </c>
    </row>
    <row r="38" spans="1:25" ht="13.5">
      <c r="A38" s="179">
        <v>31</v>
      </c>
      <c r="B38" s="180" t="s">
        <v>301</v>
      </c>
      <c r="C38" s="204">
        <v>6</v>
      </c>
      <c r="D38" s="204">
        <v>70.56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7">
        <f t="shared" si="2"/>
        <v>0</v>
      </c>
      <c r="N38" s="207">
        <f t="shared" si="2"/>
        <v>0</v>
      </c>
      <c r="O38" s="204">
        <v>0</v>
      </c>
      <c r="P38" s="204">
        <v>0</v>
      </c>
      <c r="Q38" s="204">
        <v>0</v>
      </c>
      <c r="R38" s="204">
        <v>0</v>
      </c>
      <c r="S38" s="204">
        <v>0</v>
      </c>
      <c r="T38" s="204">
        <v>0</v>
      </c>
      <c r="U38" s="204">
        <v>0</v>
      </c>
      <c r="V38" s="204">
        <v>0</v>
      </c>
      <c r="W38" s="207">
        <f t="shared" si="0"/>
        <v>0</v>
      </c>
      <c r="X38" s="207">
        <f t="shared" si="0"/>
        <v>0</v>
      </c>
      <c r="Y38" s="194">
        <f t="shared" si="1"/>
        <v>0</v>
      </c>
    </row>
    <row r="39" spans="1:25" ht="13.5">
      <c r="A39" s="179">
        <v>32</v>
      </c>
      <c r="B39" s="180" t="s">
        <v>302</v>
      </c>
      <c r="C39" s="204">
        <v>98</v>
      </c>
      <c r="D39" s="204">
        <v>1128.32</v>
      </c>
      <c r="E39" s="204">
        <v>0</v>
      </c>
      <c r="F39" s="204">
        <v>0</v>
      </c>
      <c r="G39" s="204">
        <v>0</v>
      </c>
      <c r="H39" s="204">
        <v>0</v>
      </c>
      <c r="I39" s="204">
        <v>0</v>
      </c>
      <c r="J39" s="204">
        <v>0</v>
      </c>
      <c r="K39" s="204">
        <v>1</v>
      </c>
      <c r="L39" s="204">
        <v>1859.54</v>
      </c>
      <c r="M39" s="207">
        <f t="shared" si="2"/>
        <v>1</v>
      </c>
      <c r="N39" s="207">
        <f t="shared" si="2"/>
        <v>1859.54</v>
      </c>
      <c r="O39" s="204">
        <v>0</v>
      </c>
      <c r="P39" s="204">
        <v>0</v>
      </c>
      <c r="Q39" s="204">
        <v>2</v>
      </c>
      <c r="R39" s="204">
        <v>14.62</v>
      </c>
      <c r="S39" s="204">
        <v>4</v>
      </c>
      <c r="T39" s="204">
        <v>5.5</v>
      </c>
      <c r="U39" s="204">
        <v>970</v>
      </c>
      <c r="V39" s="204">
        <v>1545.6</v>
      </c>
      <c r="W39" s="207">
        <f t="shared" si="0"/>
        <v>977</v>
      </c>
      <c r="X39" s="207">
        <f t="shared" si="0"/>
        <v>3425.2599999999998</v>
      </c>
      <c r="Y39" s="194">
        <f t="shared" si="1"/>
        <v>303.5716817923993</v>
      </c>
    </row>
    <row r="40" spans="1:25" ht="13.5">
      <c r="A40" s="179">
        <v>33</v>
      </c>
      <c r="B40" s="180" t="s">
        <v>303</v>
      </c>
      <c r="C40" s="204">
        <v>2059</v>
      </c>
      <c r="D40" s="204">
        <v>30712.52</v>
      </c>
      <c r="E40" s="204">
        <v>0</v>
      </c>
      <c r="F40" s="204">
        <v>0</v>
      </c>
      <c r="G40" s="204">
        <v>0</v>
      </c>
      <c r="H40" s="204">
        <v>0</v>
      </c>
      <c r="I40" s="204">
        <v>0</v>
      </c>
      <c r="J40" s="204">
        <v>0</v>
      </c>
      <c r="K40" s="204">
        <v>0</v>
      </c>
      <c r="L40" s="204">
        <v>0</v>
      </c>
      <c r="M40" s="207">
        <f t="shared" si="2"/>
        <v>0</v>
      </c>
      <c r="N40" s="207">
        <f t="shared" si="2"/>
        <v>0</v>
      </c>
      <c r="O40" s="204">
        <v>11</v>
      </c>
      <c r="P40" s="204">
        <v>21.83</v>
      </c>
      <c r="Q40" s="204">
        <v>0</v>
      </c>
      <c r="R40" s="204">
        <v>0</v>
      </c>
      <c r="S40" s="204">
        <v>2846</v>
      </c>
      <c r="T40" s="204">
        <v>7777.46</v>
      </c>
      <c r="U40" s="204">
        <v>16275</v>
      </c>
      <c r="V40" s="204">
        <v>115402.63</v>
      </c>
      <c r="W40" s="207">
        <f t="shared" si="0"/>
        <v>19132</v>
      </c>
      <c r="X40" s="207">
        <f t="shared" si="0"/>
        <v>123201.92</v>
      </c>
      <c r="Y40" s="194">
        <f t="shared" si="1"/>
        <v>401.1455914395823</v>
      </c>
    </row>
    <row r="41" spans="1:25" ht="13.5">
      <c r="A41" s="179">
        <v>34</v>
      </c>
      <c r="B41" s="180" t="s">
        <v>304</v>
      </c>
      <c r="C41" s="204">
        <v>2523</v>
      </c>
      <c r="D41" s="204">
        <v>33232.96</v>
      </c>
      <c r="E41" s="204">
        <v>0</v>
      </c>
      <c r="F41" s="204">
        <v>0</v>
      </c>
      <c r="G41" s="204">
        <v>2</v>
      </c>
      <c r="H41" s="204">
        <v>900</v>
      </c>
      <c r="I41" s="204">
        <v>11</v>
      </c>
      <c r="J41" s="204">
        <v>2560.035</v>
      </c>
      <c r="K41" s="204">
        <v>5</v>
      </c>
      <c r="L41" s="204">
        <v>2776.535</v>
      </c>
      <c r="M41" s="207">
        <f t="shared" si="2"/>
        <v>18</v>
      </c>
      <c r="N41" s="207">
        <f t="shared" si="2"/>
        <v>6236.57</v>
      </c>
      <c r="O41" s="204">
        <v>0</v>
      </c>
      <c r="P41" s="204">
        <v>0</v>
      </c>
      <c r="Q41" s="204">
        <v>158</v>
      </c>
      <c r="R41" s="204">
        <v>5881.98205</v>
      </c>
      <c r="S41" s="204">
        <v>0</v>
      </c>
      <c r="T41" s="204">
        <v>0</v>
      </c>
      <c r="U41" s="204">
        <v>26295</v>
      </c>
      <c r="V41" s="204">
        <v>69698.11</v>
      </c>
      <c r="W41" s="207">
        <f t="shared" si="0"/>
        <v>26471</v>
      </c>
      <c r="X41" s="207">
        <f t="shared" si="0"/>
        <v>81816.66205</v>
      </c>
      <c r="Y41" s="194">
        <f t="shared" si="1"/>
        <v>246.19131744509068</v>
      </c>
    </row>
    <row r="42" spans="1:25" ht="13.5">
      <c r="A42" s="179">
        <v>35</v>
      </c>
      <c r="B42" s="180" t="s">
        <v>305</v>
      </c>
      <c r="C42" s="204">
        <v>217</v>
      </c>
      <c r="D42" s="204">
        <v>1185.71</v>
      </c>
      <c r="E42" s="204">
        <v>0</v>
      </c>
      <c r="F42" s="204">
        <v>0</v>
      </c>
      <c r="G42" s="204">
        <v>0</v>
      </c>
      <c r="H42" s="204">
        <v>0</v>
      </c>
      <c r="I42" s="204">
        <v>0</v>
      </c>
      <c r="J42" s="204">
        <v>0</v>
      </c>
      <c r="K42" s="204">
        <v>0</v>
      </c>
      <c r="L42" s="204">
        <v>0</v>
      </c>
      <c r="M42" s="207">
        <f t="shared" si="2"/>
        <v>0</v>
      </c>
      <c r="N42" s="207">
        <f t="shared" si="2"/>
        <v>0</v>
      </c>
      <c r="O42" s="204">
        <v>0</v>
      </c>
      <c r="P42" s="204">
        <v>0</v>
      </c>
      <c r="Q42" s="204">
        <v>0</v>
      </c>
      <c r="R42" s="204">
        <v>0</v>
      </c>
      <c r="S42" s="204">
        <v>0</v>
      </c>
      <c r="T42" s="204">
        <v>0</v>
      </c>
      <c r="U42" s="204">
        <v>0</v>
      </c>
      <c r="V42" s="204">
        <v>0</v>
      </c>
      <c r="W42" s="207">
        <f t="shared" si="0"/>
        <v>0</v>
      </c>
      <c r="X42" s="207">
        <f t="shared" si="0"/>
        <v>0</v>
      </c>
      <c r="Y42" s="194">
        <f t="shared" si="1"/>
        <v>0</v>
      </c>
    </row>
    <row r="43" spans="1:25" ht="13.5">
      <c r="A43" s="179">
        <v>36</v>
      </c>
      <c r="B43" s="180" t="s">
        <v>255</v>
      </c>
      <c r="C43" s="204">
        <v>32</v>
      </c>
      <c r="D43" s="204">
        <v>106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04">
        <v>0</v>
      </c>
      <c r="L43" s="204">
        <v>0</v>
      </c>
      <c r="M43" s="207">
        <f t="shared" si="2"/>
        <v>0</v>
      </c>
      <c r="N43" s="207">
        <f t="shared" si="2"/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4">
        <v>0</v>
      </c>
      <c r="W43" s="207">
        <f t="shared" si="0"/>
        <v>0</v>
      </c>
      <c r="X43" s="207">
        <f t="shared" si="0"/>
        <v>0</v>
      </c>
      <c r="Y43" s="194">
        <f t="shared" si="1"/>
        <v>0</v>
      </c>
    </row>
    <row r="44" spans="1:25" ht="13.5">
      <c r="A44" s="179">
        <v>37</v>
      </c>
      <c r="B44" s="180" t="s">
        <v>306</v>
      </c>
      <c r="C44" s="204">
        <v>16</v>
      </c>
      <c r="D44" s="204">
        <v>174.64</v>
      </c>
      <c r="E44" s="204">
        <v>0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  <c r="K44" s="204">
        <v>0</v>
      </c>
      <c r="L44" s="204">
        <v>0</v>
      </c>
      <c r="M44" s="207">
        <f t="shared" si="2"/>
        <v>0</v>
      </c>
      <c r="N44" s="207">
        <f t="shared" si="2"/>
        <v>0</v>
      </c>
      <c r="O44" s="204">
        <v>0</v>
      </c>
      <c r="P44" s="204">
        <v>0</v>
      </c>
      <c r="Q44" s="204">
        <v>0</v>
      </c>
      <c r="R44" s="204">
        <v>0</v>
      </c>
      <c r="S44" s="204">
        <v>0</v>
      </c>
      <c r="T44" s="204">
        <v>0</v>
      </c>
      <c r="U44" s="204">
        <v>0</v>
      </c>
      <c r="V44" s="204">
        <v>0</v>
      </c>
      <c r="W44" s="207">
        <f t="shared" si="0"/>
        <v>0</v>
      </c>
      <c r="X44" s="207">
        <f t="shared" si="0"/>
        <v>0</v>
      </c>
      <c r="Y44" s="194">
        <f t="shared" si="1"/>
        <v>0</v>
      </c>
    </row>
    <row r="45" spans="1:25" ht="13.5">
      <c r="A45" s="179">
        <v>38</v>
      </c>
      <c r="B45" s="180" t="s">
        <v>307</v>
      </c>
      <c r="C45" s="204">
        <v>9</v>
      </c>
      <c r="D45" s="204">
        <v>92.86</v>
      </c>
      <c r="E45" s="204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207">
        <f t="shared" si="2"/>
        <v>0</v>
      </c>
      <c r="N45" s="207">
        <f t="shared" si="2"/>
        <v>0</v>
      </c>
      <c r="O45" s="204">
        <v>0</v>
      </c>
      <c r="P45" s="204">
        <v>0</v>
      </c>
      <c r="Q45" s="204">
        <v>0</v>
      </c>
      <c r="R45" s="204">
        <v>0</v>
      </c>
      <c r="S45" s="204">
        <v>0</v>
      </c>
      <c r="T45" s="204">
        <v>0</v>
      </c>
      <c r="U45" s="204">
        <v>2</v>
      </c>
      <c r="V45" s="204">
        <v>25</v>
      </c>
      <c r="W45" s="207">
        <f t="shared" si="0"/>
        <v>2</v>
      </c>
      <c r="X45" s="207">
        <f t="shared" si="0"/>
        <v>25</v>
      </c>
      <c r="Y45" s="194">
        <f t="shared" si="1"/>
        <v>26.922248546198578</v>
      </c>
    </row>
    <row r="46" spans="1:25" ht="13.5">
      <c r="A46" s="179">
        <v>39</v>
      </c>
      <c r="B46" s="180" t="s">
        <v>95</v>
      </c>
      <c r="C46" s="204">
        <v>50</v>
      </c>
      <c r="D46" s="204">
        <v>530.25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7">
        <f t="shared" si="2"/>
        <v>0</v>
      </c>
      <c r="N46" s="207">
        <f t="shared" si="2"/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204">
        <v>0</v>
      </c>
      <c r="V46" s="204">
        <v>0</v>
      </c>
      <c r="W46" s="207">
        <f t="shared" si="0"/>
        <v>0</v>
      </c>
      <c r="X46" s="207">
        <f t="shared" si="0"/>
        <v>0</v>
      </c>
      <c r="Y46" s="194">
        <f t="shared" si="1"/>
        <v>0</v>
      </c>
    </row>
    <row r="47" spans="1:25" ht="13.5">
      <c r="A47" s="179">
        <v>40</v>
      </c>
      <c r="B47" s="180" t="s">
        <v>308</v>
      </c>
      <c r="C47" s="204">
        <v>75</v>
      </c>
      <c r="D47" s="204">
        <v>700.72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7">
        <f t="shared" si="2"/>
        <v>0</v>
      </c>
      <c r="N47" s="207">
        <f t="shared" si="2"/>
        <v>0</v>
      </c>
      <c r="O47" s="204">
        <v>0</v>
      </c>
      <c r="P47" s="204">
        <v>0</v>
      </c>
      <c r="Q47" s="204">
        <v>0</v>
      </c>
      <c r="R47" s="204">
        <v>0</v>
      </c>
      <c r="S47" s="204">
        <v>0</v>
      </c>
      <c r="T47" s="204">
        <v>0</v>
      </c>
      <c r="U47" s="204">
        <v>0</v>
      </c>
      <c r="V47" s="204">
        <v>0</v>
      </c>
      <c r="W47" s="207">
        <f t="shared" si="0"/>
        <v>0</v>
      </c>
      <c r="X47" s="207">
        <f t="shared" si="0"/>
        <v>0</v>
      </c>
      <c r="Y47" s="194">
        <f t="shared" si="1"/>
        <v>0</v>
      </c>
    </row>
    <row r="48" spans="1:25" ht="13.5">
      <c r="A48" s="179">
        <v>41</v>
      </c>
      <c r="B48" s="180" t="s">
        <v>309</v>
      </c>
      <c r="C48" s="204">
        <v>16</v>
      </c>
      <c r="D48" s="204">
        <v>176.72</v>
      </c>
      <c r="E48" s="204">
        <v>0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0</v>
      </c>
      <c r="L48" s="204">
        <v>0</v>
      </c>
      <c r="M48" s="207">
        <f t="shared" si="2"/>
        <v>0</v>
      </c>
      <c r="N48" s="207">
        <f t="shared" si="2"/>
        <v>0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4">
        <v>0</v>
      </c>
      <c r="W48" s="207">
        <f t="shared" si="0"/>
        <v>0</v>
      </c>
      <c r="X48" s="207">
        <f t="shared" si="0"/>
        <v>0</v>
      </c>
      <c r="Y48" s="194">
        <f t="shared" si="1"/>
        <v>0</v>
      </c>
    </row>
    <row r="49" spans="1:25" ht="13.5">
      <c r="A49" s="179">
        <v>42</v>
      </c>
      <c r="B49" s="180" t="s">
        <v>310</v>
      </c>
      <c r="C49" s="204">
        <v>12</v>
      </c>
      <c r="D49" s="204">
        <v>145.25</v>
      </c>
      <c r="E49" s="204">
        <v>0</v>
      </c>
      <c r="F49" s="204">
        <v>0</v>
      </c>
      <c r="G49" s="204">
        <v>0</v>
      </c>
      <c r="H49" s="204">
        <v>0</v>
      </c>
      <c r="I49" s="204">
        <v>0</v>
      </c>
      <c r="J49" s="204">
        <v>0</v>
      </c>
      <c r="K49" s="204">
        <v>0</v>
      </c>
      <c r="L49" s="204">
        <v>0</v>
      </c>
      <c r="M49" s="207">
        <f t="shared" si="2"/>
        <v>0</v>
      </c>
      <c r="N49" s="207">
        <f t="shared" si="2"/>
        <v>0</v>
      </c>
      <c r="O49" s="204">
        <v>0</v>
      </c>
      <c r="P49" s="204">
        <v>0</v>
      </c>
      <c r="Q49" s="204">
        <v>0</v>
      </c>
      <c r="R49" s="204">
        <v>0</v>
      </c>
      <c r="S49" s="204">
        <v>0</v>
      </c>
      <c r="T49" s="204">
        <v>0</v>
      </c>
      <c r="U49" s="204">
        <v>0</v>
      </c>
      <c r="V49" s="204">
        <v>0</v>
      </c>
      <c r="W49" s="207">
        <f t="shared" si="0"/>
        <v>0</v>
      </c>
      <c r="X49" s="207">
        <f t="shared" si="0"/>
        <v>0</v>
      </c>
      <c r="Y49" s="194">
        <f t="shared" si="1"/>
        <v>0</v>
      </c>
    </row>
    <row r="50" spans="1:25" ht="13.5">
      <c r="A50" s="179">
        <v>43</v>
      </c>
      <c r="B50" s="180" t="s">
        <v>311</v>
      </c>
      <c r="C50" s="204">
        <v>4</v>
      </c>
      <c r="D50" s="204">
        <v>11.32</v>
      </c>
      <c r="E50" s="204">
        <v>29</v>
      </c>
      <c r="F50" s="204">
        <v>282.9749</v>
      </c>
      <c r="G50" s="204">
        <v>0</v>
      </c>
      <c r="H50" s="204">
        <v>0</v>
      </c>
      <c r="I50" s="204">
        <v>0</v>
      </c>
      <c r="J50" s="204">
        <v>0</v>
      </c>
      <c r="K50" s="204">
        <v>2</v>
      </c>
      <c r="L50" s="204">
        <v>500</v>
      </c>
      <c r="M50" s="207">
        <f>G50+I50+K50</f>
        <v>2</v>
      </c>
      <c r="N50" s="207">
        <f>H50+J50+L50</f>
        <v>500</v>
      </c>
      <c r="O50" s="204">
        <v>0</v>
      </c>
      <c r="P50" s="204">
        <v>0</v>
      </c>
      <c r="Q50" s="204">
        <v>0</v>
      </c>
      <c r="R50" s="204">
        <v>0</v>
      </c>
      <c r="S50" s="204">
        <v>8</v>
      </c>
      <c r="T50" s="204">
        <v>19.73</v>
      </c>
      <c r="U50" s="204">
        <v>9</v>
      </c>
      <c r="V50" s="204">
        <v>1850.35826</v>
      </c>
      <c r="W50" s="207">
        <f t="shared" si="0"/>
        <v>48</v>
      </c>
      <c r="X50" s="207">
        <f t="shared" si="0"/>
        <v>2653.0631599999997</v>
      </c>
      <c r="Y50" s="194">
        <f t="shared" si="1"/>
        <v>23436.953710247348</v>
      </c>
    </row>
    <row r="51" spans="1:25" ht="13.5">
      <c r="A51" s="179">
        <v>44</v>
      </c>
      <c r="B51" s="180" t="s">
        <v>78</v>
      </c>
      <c r="C51" s="204">
        <v>107</v>
      </c>
      <c r="D51" s="204">
        <v>386.91</v>
      </c>
      <c r="E51" s="204">
        <v>0</v>
      </c>
      <c r="F51" s="204">
        <v>0</v>
      </c>
      <c r="G51" s="204">
        <v>0</v>
      </c>
      <c r="H51" s="204">
        <v>0</v>
      </c>
      <c r="I51" s="204">
        <v>0</v>
      </c>
      <c r="J51" s="204">
        <v>0</v>
      </c>
      <c r="K51" s="204">
        <v>0</v>
      </c>
      <c r="L51" s="204">
        <v>0</v>
      </c>
      <c r="M51" s="207">
        <f t="shared" si="2"/>
        <v>0</v>
      </c>
      <c r="N51" s="207">
        <f t="shared" si="2"/>
        <v>0</v>
      </c>
      <c r="O51" s="204">
        <v>0</v>
      </c>
      <c r="P51" s="204">
        <v>0</v>
      </c>
      <c r="Q51" s="204">
        <v>0</v>
      </c>
      <c r="R51" s="204">
        <v>0</v>
      </c>
      <c r="S51" s="204">
        <v>0</v>
      </c>
      <c r="T51" s="204">
        <v>0</v>
      </c>
      <c r="U51" s="204">
        <v>0</v>
      </c>
      <c r="V51" s="204">
        <v>0</v>
      </c>
      <c r="W51" s="207">
        <f t="shared" si="0"/>
        <v>0</v>
      </c>
      <c r="X51" s="207">
        <f t="shared" si="0"/>
        <v>0</v>
      </c>
      <c r="Y51" s="194">
        <f t="shared" si="1"/>
        <v>0</v>
      </c>
    </row>
    <row r="52" spans="1:25" s="195" customFormat="1" ht="13.5">
      <c r="A52" s="183"/>
      <c r="B52" s="183" t="s">
        <v>274</v>
      </c>
      <c r="C52" s="207">
        <f>SUM(C35:C51)</f>
        <v>7022</v>
      </c>
      <c r="D52" s="207">
        <f aca="true" t="shared" si="5" ref="D52:V52">SUM(D35:D51)</f>
        <v>78303.85000000002</v>
      </c>
      <c r="E52" s="207">
        <f t="shared" si="5"/>
        <v>29</v>
      </c>
      <c r="F52" s="207">
        <f t="shared" si="5"/>
        <v>282.9749</v>
      </c>
      <c r="G52" s="207">
        <f t="shared" si="5"/>
        <v>12</v>
      </c>
      <c r="H52" s="207">
        <f t="shared" si="5"/>
        <v>1033.37</v>
      </c>
      <c r="I52" s="207">
        <f t="shared" si="5"/>
        <v>11</v>
      </c>
      <c r="J52" s="207">
        <f t="shared" si="5"/>
        <v>2560.035</v>
      </c>
      <c r="K52" s="207">
        <f t="shared" si="5"/>
        <v>25</v>
      </c>
      <c r="L52" s="207">
        <f t="shared" si="5"/>
        <v>7465.004999999999</v>
      </c>
      <c r="M52" s="207">
        <f t="shared" si="5"/>
        <v>48</v>
      </c>
      <c r="N52" s="207">
        <f t="shared" si="5"/>
        <v>11058.41</v>
      </c>
      <c r="O52" s="207">
        <f t="shared" si="5"/>
        <v>17</v>
      </c>
      <c r="P52" s="207">
        <f t="shared" si="5"/>
        <v>65.47999999999999</v>
      </c>
      <c r="Q52" s="207">
        <f t="shared" si="5"/>
        <v>368</v>
      </c>
      <c r="R52" s="207">
        <f t="shared" si="5"/>
        <v>11081.392049999999</v>
      </c>
      <c r="S52" s="207">
        <f t="shared" si="5"/>
        <v>3310</v>
      </c>
      <c r="T52" s="207">
        <f t="shared" si="5"/>
        <v>12022.395</v>
      </c>
      <c r="U52" s="207">
        <f t="shared" si="5"/>
        <v>46615</v>
      </c>
      <c r="V52" s="207">
        <f t="shared" si="5"/>
        <v>201199.68826000002</v>
      </c>
      <c r="W52" s="207">
        <f t="shared" si="0"/>
        <v>50387</v>
      </c>
      <c r="X52" s="207">
        <f t="shared" si="0"/>
        <v>235710.34021000002</v>
      </c>
      <c r="Y52" s="181">
        <f t="shared" si="1"/>
        <v>301.02011613732907</v>
      </c>
    </row>
    <row r="53" spans="1:25" ht="13.5">
      <c r="A53" s="179">
        <v>45</v>
      </c>
      <c r="B53" s="180" t="s">
        <v>48</v>
      </c>
      <c r="C53" s="204">
        <v>2666</v>
      </c>
      <c r="D53" s="204">
        <f>12166.5-3108</f>
        <v>9058.5</v>
      </c>
      <c r="E53" s="204">
        <v>0</v>
      </c>
      <c r="F53" s="204">
        <v>0</v>
      </c>
      <c r="G53" s="204">
        <v>0</v>
      </c>
      <c r="H53" s="204">
        <v>0</v>
      </c>
      <c r="I53" s="204">
        <v>0</v>
      </c>
      <c r="J53" s="204">
        <v>0</v>
      </c>
      <c r="K53" s="204">
        <v>0</v>
      </c>
      <c r="L53" s="204">
        <v>0</v>
      </c>
      <c r="M53" s="207">
        <f t="shared" si="2"/>
        <v>0</v>
      </c>
      <c r="N53" s="207">
        <f t="shared" si="2"/>
        <v>0</v>
      </c>
      <c r="O53" s="204">
        <v>0</v>
      </c>
      <c r="P53" s="204">
        <v>0</v>
      </c>
      <c r="Q53" s="204">
        <v>14</v>
      </c>
      <c r="R53" s="204">
        <v>241</v>
      </c>
      <c r="S53" s="204">
        <v>372</v>
      </c>
      <c r="T53" s="204">
        <v>811</v>
      </c>
      <c r="U53" s="204">
        <v>1416</v>
      </c>
      <c r="V53" s="204">
        <v>3001</v>
      </c>
      <c r="W53" s="207">
        <f t="shared" si="0"/>
        <v>1802</v>
      </c>
      <c r="X53" s="207">
        <f t="shared" si="0"/>
        <v>4053</v>
      </c>
      <c r="Y53" s="194">
        <f t="shared" si="1"/>
        <v>44.74250703758901</v>
      </c>
    </row>
    <row r="54" spans="1:25" ht="13.5">
      <c r="A54" s="179">
        <v>46</v>
      </c>
      <c r="B54" s="180" t="s">
        <v>269</v>
      </c>
      <c r="C54" s="204">
        <f>4813-999</f>
        <v>3814</v>
      </c>
      <c r="D54" s="204">
        <f>8861+1554</f>
        <v>10415</v>
      </c>
      <c r="E54" s="204">
        <v>0</v>
      </c>
      <c r="F54" s="204">
        <v>0</v>
      </c>
      <c r="G54" s="204">
        <v>0</v>
      </c>
      <c r="H54" s="204">
        <v>0</v>
      </c>
      <c r="I54" s="204">
        <v>0</v>
      </c>
      <c r="J54" s="204">
        <v>0</v>
      </c>
      <c r="K54" s="204">
        <v>0</v>
      </c>
      <c r="L54" s="204">
        <v>0</v>
      </c>
      <c r="M54" s="207">
        <f t="shared" si="2"/>
        <v>0</v>
      </c>
      <c r="N54" s="207">
        <f t="shared" si="2"/>
        <v>0</v>
      </c>
      <c r="O54" s="204">
        <v>0</v>
      </c>
      <c r="P54" s="204">
        <v>0</v>
      </c>
      <c r="Q54" s="204">
        <v>0</v>
      </c>
      <c r="R54" s="204">
        <v>0</v>
      </c>
      <c r="S54" s="204">
        <v>0</v>
      </c>
      <c r="T54" s="204">
        <v>0</v>
      </c>
      <c r="U54" s="204">
        <v>14794</v>
      </c>
      <c r="V54" s="204">
        <v>9071</v>
      </c>
      <c r="W54" s="207">
        <f t="shared" si="0"/>
        <v>14794</v>
      </c>
      <c r="X54" s="207">
        <f t="shared" si="0"/>
        <v>9071</v>
      </c>
      <c r="Y54" s="194">
        <f t="shared" si="1"/>
        <v>87.09553528564571</v>
      </c>
    </row>
    <row r="55" spans="1:25" ht="13.5">
      <c r="A55" s="179">
        <v>47</v>
      </c>
      <c r="B55" s="180" t="s">
        <v>54</v>
      </c>
      <c r="C55" s="204">
        <f>430+1675</f>
        <v>2105</v>
      </c>
      <c r="D55" s="204">
        <v>8861.16</v>
      </c>
      <c r="E55" s="204">
        <v>0</v>
      </c>
      <c r="F55" s="204">
        <v>0</v>
      </c>
      <c r="G55" s="204">
        <v>0</v>
      </c>
      <c r="H55" s="204">
        <v>0</v>
      </c>
      <c r="I55" s="204">
        <v>0</v>
      </c>
      <c r="J55" s="204">
        <v>0</v>
      </c>
      <c r="K55" s="204">
        <v>0</v>
      </c>
      <c r="L55" s="204">
        <v>0</v>
      </c>
      <c r="M55" s="207">
        <v>0</v>
      </c>
      <c r="N55" s="207">
        <v>0</v>
      </c>
      <c r="O55" s="204">
        <v>0</v>
      </c>
      <c r="P55" s="204">
        <v>0</v>
      </c>
      <c r="Q55" s="204">
        <v>2</v>
      </c>
      <c r="R55" s="204">
        <v>5.05</v>
      </c>
      <c r="S55" s="204">
        <v>61</v>
      </c>
      <c r="T55" s="204">
        <v>42.15</v>
      </c>
      <c r="U55" s="204">
        <v>1814</v>
      </c>
      <c r="V55" s="204">
        <v>2812</v>
      </c>
      <c r="W55" s="207">
        <f t="shared" si="0"/>
        <v>1877</v>
      </c>
      <c r="X55" s="207">
        <f t="shared" si="0"/>
        <v>2859.2</v>
      </c>
      <c r="Y55" s="194">
        <f t="shared" si="1"/>
        <v>32.26665583287064</v>
      </c>
    </row>
    <row r="56" spans="1:25" s="195" customFormat="1" ht="13.5">
      <c r="A56" s="183"/>
      <c r="B56" s="183" t="s">
        <v>270</v>
      </c>
      <c r="C56" s="207">
        <f>SUM(C53:C55)</f>
        <v>8585</v>
      </c>
      <c r="D56" s="207">
        <f aca="true" t="shared" si="6" ref="D56:V56">SUM(D53:D55)</f>
        <v>28334.66</v>
      </c>
      <c r="E56" s="207">
        <f t="shared" si="6"/>
        <v>0</v>
      </c>
      <c r="F56" s="207">
        <f t="shared" si="6"/>
        <v>0</v>
      </c>
      <c r="G56" s="207">
        <f t="shared" si="6"/>
        <v>0</v>
      </c>
      <c r="H56" s="207">
        <f t="shared" si="6"/>
        <v>0</v>
      </c>
      <c r="I56" s="207">
        <f t="shared" si="6"/>
        <v>0</v>
      </c>
      <c r="J56" s="207">
        <f t="shared" si="6"/>
        <v>0</v>
      </c>
      <c r="K56" s="207">
        <f t="shared" si="6"/>
        <v>0</v>
      </c>
      <c r="L56" s="207">
        <f t="shared" si="6"/>
        <v>0</v>
      </c>
      <c r="M56" s="207">
        <f t="shared" si="6"/>
        <v>0</v>
      </c>
      <c r="N56" s="207">
        <f t="shared" si="6"/>
        <v>0</v>
      </c>
      <c r="O56" s="207">
        <f t="shared" si="6"/>
        <v>0</v>
      </c>
      <c r="P56" s="207">
        <f t="shared" si="6"/>
        <v>0</v>
      </c>
      <c r="Q56" s="207">
        <f t="shared" si="6"/>
        <v>16</v>
      </c>
      <c r="R56" s="207">
        <f t="shared" si="6"/>
        <v>246.05</v>
      </c>
      <c r="S56" s="207">
        <f t="shared" si="6"/>
        <v>433</v>
      </c>
      <c r="T56" s="207">
        <f t="shared" si="6"/>
        <v>853.15</v>
      </c>
      <c r="U56" s="207">
        <f t="shared" si="6"/>
        <v>18024</v>
      </c>
      <c r="V56" s="207">
        <f t="shared" si="6"/>
        <v>14884</v>
      </c>
      <c r="W56" s="207">
        <f t="shared" si="0"/>
        <v>18473</v>
      </c>
      <c r="X56" s="207">
        <f t="shared" si="0"/>
        <v>15983.2</v>
      </c>
      <c r="Y56" s="181">
        <f t="shared" si="1"/>
        <v>56.40865286543054</v>
      </c>
    </row>
    <row r="57" spans="1:25" ht="13.5">
      <c r="A57" s="179">
        <v>48</v>
      </c>
      <c r="B57" s="180" t="s">
        <v>312</v>
      </c>
      <c r="C57" s="204">
        <v>1368</v>
      </c>
      <c r="D57" s="204">
        <v>10011.66</v>
      </c>
      <c r="E57" s="204">
        <v>0</v>
      </c>
      <c r="F57" s="204">
        <v>0</v>
      </c>
      <c r="G57" s="204">
        <v>0</v>
      </c>
      <c r="H57" s="204">
        <v>0</v>
      </c>
      <c r="I57" s="204">
        <v>0</v>
      </c>
      <c r="J57" s="204">
        <v>0</v>
      </c>
      <c r="K57" s="204">
        <v>0</v>
      </c>
      <c r="L57" s="204">
        <v>0</v>
      </c>
      <c r="M57" s="207">
        <f t="shared" si="2"/>
        <v>0</v>
      </c>
      <c r="N57" s="207">
        <f t="shared" si="2"/>
        <v>0</v>
      </c>
      <c r="O57" s="204">
        <v>0</v>
      </c>
      <c r="P57" s="204">
        <v>0</v>
      </c>
      <c r="Q57" s="204">
        <v>0</v>
      </c>
      <c r="R57" s="204">
        <v>0</v>
      </c>
      <c r="S57" s="204">
        <v>0</v>
      </c>
      <c r="T57" s="204">
        <v>0</v>
      </c>
      <c r="U57" s="204">
        <v>0</v>
      </c>
      <c r="V57" s="204">
        <v>0</v>
      </c>
      <c r="W57" s="207">
        <f t="shared" si="0"/>
        <v>0</v>
      </c>
      <c r="X57" s="207">
        <f t="shared" si="0"/>
        <v>0</v>
      </c>
      <c r="Y57" s="194">
        <f t="shared" si="1"/>
        <v>0</v>
      </c>
    </row>
    <row r="58" spans="1:25" s="195" customFormat="1" ht="13.5">
      <c r="A58" s="183"/>
      <c r="B58" s="183" t="s">
        <v>275</v>
      </c>
      <c r="C58" s="207">
        <f>C57</f>
        <v>1368</v>
      </c>
      <c r="D58" s="207">
        <f aca="true" t="shared" si="7" ref="D58:V58">D57</f>
        <v>10011.66</v>
      </c>
      <c r="E58" s="207">
        <f t="shared" si="7"/>
        <v>0</v>
      </c>
      <c r="F58" s="207">
        <f t="shared" si="7"/>
        <v>0</v>
      </c>
      <c r="G58" s="207">
        <f t="shared" si="7"/>
        <v>0</v>
      </c>
      <c r="H58" s="207">
        <f t="shared" si="7"/>
        <v>0</v>
      </c>
      <c r="I58" s="207">
        <f t="shared" si="7"/>
        <v>0</v>
      </c>
      <c r="J58" s="207">
        <f t="shared" si="7"/>
        <v>0</v>
      </c>
      <c r="K58" s="207">
        <f t="shared" si="7"/>
        <v>0</v>
      </c>
      <c r="L58" s="207">
        <f t="shared" si="7"/>
        <v>0</v>
      </c>
      <c r="M58" s="207">
        <f t="shared" si="7"/>
        <v>0</v>
      </c>
      <c r="N58" s="207">
        <f t="shared" si="7"/>
        <v>0</v>
      </c>
      <c r="O58" s="207">
        <f t="shared" si="7"/>
        <v>0</v>
      </c>
      <c r="P58" s="207">
        <f t="shared" si="7"/>
        <v>0</v>
      </c>
      <c r="Q58" s="207">
        <f t="shared" si="7"/>
        <v>0</v>
      </c>
      <c r="R58" s="207">
        <f t="shared" si="7"/>
        <v>0</v>
      </c>
      <c r="S58" s="207">
        <f t="shared" si="7"/>
        <v>0</v>
      </c>
      <c r="T58" s="207">
        <f t="shared" si="7"/>
        <v>0</v>
      </c>
      <c r="U58" s="207">
        <f t="shared" si="7"/>
        <v>0</v>
      </c>
      <c r="V58" s="207">
        <f t="shared" si="7"/>
        <v>0</v>
      </c>
      <c r="W58" s="207">
        <f t="shared" si="0"/>
        <v>0</v>
      </c>
      <c r="X58" s="207">
        <f t="shared" si="0"/>
        <v>0</v>
      </c>
      <c r="Y58" s="181">
        <f t="shared" si="1"/>
        <v>0</v>
      </c>
    </row>
    <row r="59" spans="1:25" s="195" customFormat="1" ht="13.5">
      <c r="A59" s="183"/>
      <c r="B59" s="183" t="s">
        <v>276</v>
      </c>
      <c r="C59" s="207">
        <f>C58+C56+C34+C27</f>
        <v>57369</v>
      </c>
      <c r="D59" s="207">
        <f aca="true" t="shared" si="8" ref="D59:V59">D58+D56+D34+D27</f>
        <v>325152.24</v>
      </c>
      <c r="E59" s="207">
        <f t="shared" si="8"/>
        <v>5765</v>
      </c>
      <c r="F59" s="207">
        <f t="shared" si="8"/>
        <v>33535</v>
      </c>
      <c r="G59" s="207">
        <f t="shared" si="8"/>
        <v>116</v>
      </c>
      <c r="H59" s="207">
        <f t="shared" si="8"/>
        <v>2340.47</v>
      </c>
      <c r="I59" s="207">
        <f t="shared" si="8"/>
        <v>210</v>
      </c>
      <c r="J59" s="207">
        <f t="shared" si="8"/>
        <v>27598.13</v>
      </c>
      <c r="K59" s="207">
        <f t="shared" si="8"/>
        <v>104</v>
      </c>
      <c r="L59" s="207">
        <f t="shared" si="8"/>
        <v>11885.636</v>
      </c>
      <c r="M59" s="207">
        <f t="shared" si="8"/>
        <v>1220</v>
      </c>
      <c r="N59" s="207">
        <f t="shared" si="8"/>
        <v>41824.236</v>
      </c>
      <c r="O59" s="207">
        <f t="shared" si="8"/>
        <v>365</v>
      </c>
      <c r="P59" s="207">
        <f t="shared" si="8"/>
        <v>5404.765</v>
      </c>
      <c r="Q59" s="207">
        <f t="shared" si="8"/>
        <v>2494</v>
      </c>
      <c r="R59" s="207">
        <f t="shared" si="8"/>
        <v>20569.140000000003</v>
      </c>
      <c r="S59" s="207">
        <f t="shared" si="8"/>
        <v>36285</v>
      </c>
      <c r="T59" s="207">
        <f t="shared" si="8"/>
        <v>68627.08</v>
      </c>
      <c r="U59" s="207">
        <f t="shared" si="8"/>
        <v>27958</v>
      </c>
      <c r="V59" s="207">
        <f t="shared" si="8"/>
        <v>426940.76081999997</v>
      </c>
      <c r="W59" s="207">
        <f t="shared" si="0"/>
        <v>74087</v>
      </c>
      <c r="X59" s="207">
        <f t="shared" si="0"/>
        <v>596900.98182</v>
      </c>
      <c r="Y59" s="181">
        <f t="shared" si="1"/>
        <v>183.5758479843165</v>
      </c>
    </row>
  </sheetData>
  <sheetProtection/>
  <mergeCells count="18">
    <mergeCell ref="Y3:Y5"/>
    <mergeCell ref="C4:C5"/>
    <mergeCell ref="D4:D5"/>
    <mergeCell ref="G4:H4"/>
    <mergeCell ref="I4:J4"/>
    <mergeCell ref="K4:L4"/>
    <mergeCell ref="M4:N4"/>
    <mergeCell ref="W3:X4"/>
    <mergeCell ref="A1:X1"/>
    <mergeCell ref="A3:A5"/>
    <mergeCell ref="B3:B5"/>
    <mergeCell ref="C3:D3"/>
    <mergeCell ref="E3:F4"/>
    <mergeCell ref="G3:N3"/>
    <mergeCell ref="O3:P4"/>
    <mergeCell ref="Q3:R4"/>
    <mergeCell ref="S3:T4"/>
    <mergeCell ref="U3:V4"/>
  </mergeCells>
  <conditionalFormatting sqref="B6">
    <cfRule type="duplicateValues" priority="2" dxfId="197">
      <formula>AND(COUNTIF($B$6:$B$6,B6)&gt;1,NOT(ISBLANK(B6)))</formula>
    </cfRule>
  </conditionalFormatting>
  <conditionalFormatting sqref="B22">
    <cfRule type="duplicateValues" priority="3" dxfId="197">
      <formula>AND(COUNTIF($B$22:$B$22,B22)&gt;1,NOT(ISBLANK(B22)))</formula>
    </cfRule>
  </conditionalFormatting>
  <conditionalFormatting sqref="B33:B34 B26:B30">
    <cfRule type="duplicateValues" priority="4" dxfId="197">
      <formula>AND(COUNTIF($B$33:$B$34,B26)+COUNTIF($B$26:$B$30,B26)&gt;1,NOT(ISBLANK(B26)))</formula>
    </cfRule>
  </conditionalFormatting>
  <conditionalFormatting sqref="B52">
    <cfRule type="duplicateValues" priority="5" dxfId="197">
      <formula>AND(COUNTIF($B$52:$B$52,B52)&gt;1,NOT(ISBLANK(B52)))</formula>
    </cfRule>
  </conditionalFormatting>
  <conditionalFormatting sqref="B56">
    <cfRule type="duplicateValues" priority="6" dxfId="197">
      <formula>AND(COUNTIF($B$56:$B$56,B56)&gt;1,NOT(ISBLANK(B56)))</formula>
    </cfRule>
  </conditionalFormatting>
  <conditionalFormatting sqref="B58">
    <cfRule type="duplicateValues" priority="7" dxfId="197">
      <formula>AND(COUNTIF($B$58:$B$58,B58)&gt;1,NOT(ISBLANK(B58)))</formula>
    </cfRule>
  </conditionalFormatting>
  <conditionalFormatting sqref="Y1:Y65536">
    <cfRule type="cellIs" priority="1" dxfId="198" operator="greaterThan" stopIfTrue="1">
      <formula>100</formula>
    </cfRule>
  </conditionalFormatting>
  <printOptions/>
  <pageMargins left="1.45" right="0.7" top="0.25" bottom="0.25" header="0.3" footer="0.3"/>
  <pageSetup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59"/>
  <sheetViews>
    <sheetView view="pageBreakPreview" zoomScale="60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2" sqref="F62"/>
    </sheetView>
  </sheetViews>
  <sheetFormatPr defaultColWidth="9.140625" defaultRowHeight="12.75"/>
  <cols>
    <col min="1" max="1" width="6.00390625" style="221" customWidth="1"/>
    <col min="2" max="2" width="29.28125" style="42" customWidth="1"/>
    <col min="3" max="3" width="11.57421875" style="42" customWidth="1"/>
    <col min="4" max="4" width="12.140625" style="42" customWidth="1"/>
    <col min="5" max="5" width="12.57421875" style="42" bestFit="1" customWidth="1"/>
    <col min="6" max="6" width="13.00390625" style="42" bestFit="1" customWidth="1"/>
    <col min="7" max="7" width="9.140625" style="43" customWidth="1"/>
    <col min="8" max="8" width="9.140625" style="42" hidden="1" customWidth="1"/>
    <col min="9" max="10" width="9.140625" style="220" hidden="1" customWidth="1"/>
    <col min="11" max="15" width="9.140625" style="220" customWidth="1"/>
    <col min="16" max="16384" width="9.140625" style="42" customWidth="1"/>
  </cols>
  <sheetData>
    <row r="1" spans="1:7" ht="18.75" customHeight="1">
      <c r="A1" s="605" t="s">
        <v>192</v>
      </c>
      <c r="B1" s="605"/>
      <c r="C1" s="605"/>
      <c r="D1" s="605"/>
      <c r="E1" s="605"/>
      <c r="F1" s="605"/>
      <c r="G1" s="605"/>
    </row>
    <row r="2" spans="1:6" ht="15">
      <c r="A2" s="610" t="s">
        <v>119</v>
      </c>
      <c r="B2" s="610"/>
      <c r="C2" s="610"/>
      <c r="D2" s="610"/>
      <c r="E2" s="610"/>
      <c r="F2" s="610"/>
    </row>
    <row r="3" spans="2:6" ht="25.5" customHeight="1">
      <c r="B3" s="50" t="s">
        <v>12</v>
      </c>
      <c r="C3" s="611"/>
      <c r="D3" s="611"/>
      <c r="E3" s="615" t="s">
        <v>45</v>
      </c>
      <c r="F3" s="615"/>
    </row>
    <row r="4" spans="1:7" ht="15" customHeight="1">
      <c r="A4" s="612" t="s">
        <v>193</v>
      </c>
      <c r="B4" s="612" t="s">
        <v>3</v>
      </c>
      <c r="C4" s="606" t="s">
        <v>40</v>
      </c>
      <c r="D4" s="607"/>
      <c r="E4" s="606" t="s">
        <v>13</v>
      </c>
      <c r="F4" s="607"/>
      <c r="G4" s="608" t="s">
        <v>120</v>
      </c>
    </row>
    <row r="5" spans="1:7" ht="15">
      <c r="A5" s="613"/>
      <c r="B5" s="614"/>
      <c r="C5" s="264" t="s">
        <v>30</v>
      </c>
      <c r="D5" s="264" t="s">
        <v>17</v>
      </c>
      <c r="E5" s="264" t="s">
        <v>30</v>
      </c>
      <c r="F5" s="222" t="s">
        <v>17</v>
      </c>
      <c r="G5" s="609"/>
    </row>
    <row r="6" spans="1:9" ht="15" customHeight="1">
      <c r="A6" s="256">
        <v>1</v>
      </c>
      <c r="B6" s="204" t="s">
        <v>57</v>
      </c>
      <c r="C6" s="40">
        <v>18505</v>
      </c>
      <c r="D6" s="55">
        <v>51724.82</v>
      </c>
      <c r="E6" s="40">
        <f>'Pri Sec_outstanding_6'!O6+NPS_OS_8!U6</f>
        <v>162979</v>
      </c>
      <c r="F6" s="40">
        <f>'Pri Sec_outstanding_6'!R6</f>
        <v>639622</v>
      </c>
      <c r="G6" s="44">
        <f>D6*100/F6</f>
        <v>8.086779379070764</v>
      </c>
      <c r="H6" s="42">
        <f>NPA_PS_14!N6+NPA_NPS_15!L6</f>
        <v>51724.77</v>
      </c>
      <c r="I6" s="220">
        <f>H6-D6</f>
        <v>-0.05000000000291038</v>
      </c>
    </row>
    <row r="7" spans="1:9" ht="15">
      <c r="A7" s="256">
        <v>2</v>
      </c>
      <c r="B7" s="257" t="s">
        <v>58</v>
      </c>
      <c r="C7" s="115">
        <v>646</v>
      </c>
      <c r="D7" s="115">
        <v>2029</v>
      </c>
      <c r="E7" s="40">
        <f>'Pri Sec_outstanding_6'!O7+NPS_OS_8!U7</f>
        <v>9265</v>
      </c>
      <c r="F7" s="40">
        <f>'Pri Sec_outstanding_6'!R7</f>
        <v>47367</v>
      </c>
      <c r="G7" s="44">
        <f aca="true" t="shared" si="0" ref="G7:G59">D7*100/F7</f>
        <v>4.283572951632993</v>
      </c>
      <c r="H7" s="42">
        <f>NPA_PS_14!N7+NPA_NPS_15!L7</f>
        <v>2028.75</v>
      </c>
      <c r="I7" s="220">
        <f aca="true" t="shared" si="1" ref="I7:I59">H7-D7</f>
        <v>-0.25</v>
      </c>
    </row>
    <row r="8" spans="1:9" ht="15">
      <c r="A8" s="256">
        <v>3</v>
      </c>
      <c r="B8" s="257" t="s">
        <v>59</v>
      </c>
      <c r="C8" s="115">
        <v>14173</v>
      </c>
      <c r="D8" s="115">
        <v>50684</v>
      </c>
      <c r="E8" s="40">
        <f>'Pri Sec_outstanding_6'!O8+NPS_OS_8!U8</f>
        <v>97497</v>
      </c>
      <c r="F8" s="40">
        <f>'Pri Sec_outstanding_6'!R8</f>
        <v>892300</v>
      </c>
      <c r="G8" s="44">
        <f t="shared" si="0"/>
        <v>5.680152415107027</v>
      </c>
      <c r="H8" s="42">
        <f>NPA_PS_14!N8+NPA_NPS_15!L8</f>
        <v>50684.24</v>
      </c>
      <c r="I8" s="220">
        <f t="shared" si="1"/>
        <v>0.23999999999796273</v>
      </c>
    </row>
    <row r="9" spans="1:9" ht="15">
      <c r="A9" s="256">
        <v>4</v>
      </c>
      <c r="B9" s="257" t="s">
        <v>60</v>
      </c>
      <c r="C9" s="115">
        <v>45098</v>
      </c>
      <c r="D9" s="115">
        <v>73800.7534969</v>
      </c>
      <c r="E9" s="40">
        <f>'Pri Sec_outstanding_6'!O9+NPS_OS_8!U9</f>
        <v>585029</v>
      </c>
      <c r="F9" s="40">
        <f>'Pri Sec_outstanding_6'!R9</f>
        <v>1640857</v>
      </c>
      <c r="G9" s="44">
        <f t="shared" si="0"/>
        <v>4.497695624719277</v>
      </c>
      <c r="H9" s="42">
        <f>NPA_PS_14!N9+NPA_NPS_15!L9</f>
        <v>73800.4889982</v>
      </c>
      <c r="I9" s="220">
        <f t="shared" si="1"/>
        <v>-0.2644986999948742</v>
      </c>
    </row>
    <row r="10" spans="1:9" ht="15">
      <c r="A10" s="256">
        <v>5</v>
      </c>
      <c r="B10" s="257" t="s">
        <v>61</v>
      </c>
      <c r="C10" s="115">
        <v>17306</v>
      </c>
      <c r="D10" s="115">
        <v>39205</v>
      </c>
      <c r="E10" s="40">
        <f>'Pri Sec_outstanding_6'!O10+NPS_OS_8!U10</f>
        <v>103125</v>
      </c>
      <c r="F10" s="40">
        <f>'Pri Sec_outstanding_6'!R10</f>
        <v>367596</v>
      </c>
      <c r="G10" s="44">
        <f t="shared" si="0"/>
        <v>10.665241188696287</v>
      </c>
      <c r="H10" s="42">
        <f>NPA_PS_14!N10+NPA_NPS_15!L10</f>
        <v>39205</v>
      </c>
      <c r="I10" s="220">
        <f t="shared" si="1"/>
        <v>0</v>
      </c>
    </row>
    <row r="11" spans="1:9" ht="15">
      <c r="A11" s="256">
        <v>6</v>
      </c>
      <c r="B11" s="258" t="s">
        <v>289</v>
      </c>
      <c r="C11" s="115">
        <v>0</v>
      </c>
      <c r="D11" s="115">
        <v>0</v>
      </c>
      <c r="E11" s="40">
        <f>'Pri Sec_outstanding_6'!O11+NPS_OS_8!U11</f>
        <v>704</v>
      </c>
      <c r="F11" s="40">
        <f>'Pri Sec_outstanding_6'!R11</f>
        <v>763</v>
      </c>
      <c r="G11" s="44">
        <f t="shared" si="0"/>
        <v>0</v>
      </c>
      <c r="H11" s="42">
        <f>NPA_PS_14!N11+NPA_NPS_15!L11</f>
        <v>0</v>
      </c>
      <c r="I11" s="220">
        <f t="shared" si="1"/>
        <v>0</v>
      </c>
    </row>
    <row r="12" spans="1:9" ht="15">
      <c r="A12" s="256">
        <v>7</v>
      </c>
      <c r="B12" s="257" t="s">
        <v>62</v>
      </c>
      <c r="C12" s="115">
        <v>8334</v>
      </c>
      <c r="D12" s="115">
        <v>29081</v>
      </c>
      <c r="E12" s="40">
        <f>'Pri Sec_outstanding_6'!O12+NPS_OS_8!U12</f>
        <v>87086</v>
      </c>
      <c r="F12" s="40">
        <f>'Pri Sec_outstanding_6'!R12</f>
        <v>408664</v>
      </c>
      <c r="G12" s="44">
        <f t="shared" si="0"/>
        <v>7.11611495017912</v>
      </c>
      <c r="H12" s="42">
        <f>NPA_PS_14!N12+NPA_NPS_15!L12</f>
        <v>29081</v>
      </c>
      <c r="I12" s="220">
        <f t="shared" si="1"/>
        <v>0</v>
      </c>
    </row>
    <row r="13" spans="1:9" ht="15">
      <c r="A13" s="256">
        <v>8</v>
      </c>
      <c r="B13" s="257" t="s">
        <v>63</v>
      </c>
      <c r="C13" s="115">
        <v>80044</v>
      </c>
      <c r="D13" s="115">
        <v>112273.75</v>
      </c>
      <c r="E13" s="40">
        <f>'Pri Sec_outstanding_6'!O13+NPS_OS_8!U13</f>
        <v>438498</v>
      </c>
      <c r="F13" s="40">
        <f>'Pri Sec_outstanding_6'!R13</f>
        <v>1204520</v>
      </c>
      <c r="G13" s="44">
        <f t="shared" si="0"/>
        <v>9.32103659549032</v>
      </c>
      <c r="H13" s="42">
        <f>NPA_PS_14!N13+NPA_NPS_15!L13</f>
        <v>112273.33</v>
      </c>
      <c r="I13" s="220">
        <f t="shared" si="1"/>
        <v>-0.41999999999825377</v>
      </c>
    </row>
    <row r="14" spans="1:9" ht="15">
      <c r="A14" s="256">
        <v>9</v>
      </c>
      <c r="B14" s="257" t="s">
        <v>50</v>
      </c>
      <c r="C14" s="115">
        <v>1139</v>
      </c>
      <c r="D14" s="115">
        <v>12785</v>
      </c>
      <c r="E14" s="40">
        <f>'Pri Sec_outstanding_6'!O14+NPS_OS_8!U14</f>
        <v>21533</v>
      </c>
      <c r="F14" s="40">
        <f>'Pri Sec_outstanding_6'!R14</f>
        <v>278661</v>
      </c>
      <c r="G14" s="44">
        <f t="shared" si="0"/>
        <v>4.588011957180948</v>
      </c>
      <c r="H14" s="42">
        <f>NPA_PS_14!N14+NPA_NPS_15!L14</f>
        <v>12784.67</v>
      </c>
      <c r="I14" s="220">
        <f t="shared" si="1"/>
        <v>-0.32999999999992724</v>
      </c>
    </row>
    <row r="15" spans="1:9" ht="15">
      <c r="A15" s="256">
        <v>10</v>
      </c>
      <c r="B15" s="257" t="s">
        <v>51</v>
      </c>
      <c r="C15" s="115">
        <v>8724</v>
      </c>
      <c r="D15" s="115">
        <v>12455</v>
      </c>
      <c r="E15" s="40">
        <f>'Pri Sec_outstanding_6'!O15+NPS_OS_8!U15</f>
        <v>50351</v>
      </c>
      <c r="F15" s="40">
        <f>'Pri Sec_outstanding_6'!R15</f>
        <v>179901</v>
      </c>
      <c r="G15" s="44">
        <f t="shared" si="0"/>
        <v>6.92325223317269</v>
      </c>
      <c r="H15" s="42">
        <f>NPA_PS_14!N15+NPA_NPS_15!L15</f>
        <v>12455</v>
      </c>
      <c r="I15" s="220">
        <f t="shared" si="1"/>
        <v>0</v>
      </c>
    </row>
    <row r="16" spans="1:9" ht="15">
      <c r="A16" s="256">
        <v>11</v>
      </c>
      <c r="B16" s="257" t="s">
        <v>290</v>
      </c>
      <c r="C16" s="115">
        <v>866</v>
      </c>
      <c r="D16" s="115">
        <v>92691</v>
      </c>
      <c r="E16" s="40">
        <f>'Pri Sec_outstanding_6'!O16+NPS_OS_8!U16</f>
        <v>64253</v>
      </c>
      <c r="F16" s="40">
        <f>'Pri Sec_outstanding_6'!R16</f>
        <v>400527</v>
      </c>
      <c r="G16" s="44">
        <f t="shared" si="0"/>
        <v>23.142260072354674</v>
      </c>
      <c r="H16" s="42">
        <f>NPA_PS_14!N16+NPA_NPS_15!L16</f>
        <v>92691</v>
      </c>
      <c r="I16" s="220">
        <f t="shared" si="1"/>
        <v>0</v>
      </c>
    </row>
    <row r="17" spans="1:9" ht="15">
      <c r="A17" s="256">
        <v>12</v>
      </c>
      <c r="B17" s="257" t="s">
        <v>64</v>
      </c>
      <c r="C17" s="115">
        <v>422</v>
      </c>
      <c r="D17" s="115">
        <v>4053.99</v>
      </c>
      <c r="E17" s="40">
        <f>'Pri Sec_outstanding_6'!O17+NPS_OS_8!U17</f>
        <v>6855</v>
      </c>
      <c r="F17" s="40">
        <f>'Pri Sec_outstanding_6'!R17</f>
        <v>69684.91</v>
      </c>
      <c r="G17" s="44">
        <f t="shared" si="0"/>
        <v>5.817600969851291</v>
      </c>
      <c r="H17" s="42">
        <f>NPA_PS_14!N17+NPA_NPS_15!L17</f>
        <v>4054.2799999999997</v>
      </c>
      <c r="I17" s="220">
        <f t="shared" si="1"/>
        <v>0.2899999999999636</v>
      </c>
    </row>
    <row r="18" spans="1:9" ht="15">
      <c r="A18" s="256">
        <v>13</v>
      </c>
      <c r="B18" s="257" t="s">
        <v>65</v>
      </c>
      <c r="C18" s="115">
        <v>918</v>
      </c>
      <c r="D18" s="115">
        <v>17944.43</v>
      </c>
      <c r="E18" s="40">
        <f>'Pri Sec_outstanding_6'!O18+NPS_OS_8!U18</f>
        <v>10639</v>
      </c>
      <c r="F18" s="40">
        <f>'Pri Sec_outstanding_6'!R18</f>
        <v>94974</v>
      </c>
      <c r="G18" s="44">
        <f t="shared" si="0"/>
        <v>18.89404468591404</v>
      </c>
      <c r="H18" s="42">
        <f>NPA_PS_14!N18+NPA_NPS_15!L18</f>
        <v>17944.920000000002</v>
      </c>
      <c r="I18" s="220">
        <f t="shared" si="1"/>
        <v>0.4900000000016007</v>
      </c>
    </row>
    <row r="19" spans="1:9" ht="15">
      <c r="A19" s="256">
        <v>14</v>
      </c>
      <c r="B19" s="151" t="s">
        <v>291</v>
      </c>
      <c r="C19" s="115">
        <v>5968</v>
      </c>
      <c r="D19" s="115">
        <v>34201.13</v>
      </c>
      <c r="E19" s="40">
        <f>'Pri Sec_outstanding_6'!O19+NPS_OS_8!U19</f>
        <v>35327</v>
      </c>
      <c r="F19" s="40">
        <f>'Pri Sec_outstanding_6'!R19</f>
        <v>212999</v>
      </c>
      <c r="G19" s="44">
        <f t="shared" si="0"/>
        <v>16.05694392931422</v>
      </c>
      <c r="H19" s="42">
        <f>NPA_PS_14!N19+NPA_NPS_15!L19</f>
        <v>34200.94</v>
      </c>
      <c r="I19" s="220">
        <f t="shared" si="1"/>
        <v>-0.18999999999505235</v>
      </c>
    </row>
    <row r="20" spans="1:9" ht="15">
      <c r="A20" s="256">
        <v>15</v>
      </c>
      <c r="B20" s="257" t="s">
        <v>292</v>
      </c>
      <c r="C20" s="115">
        <v>5175</v>
      </c>
      <c r="D20" s="115">
        <v>3445</v>
      </c>
      <c r="E20" s="40">
        <f>'Pri Sec_outstanding_6'!O20+NPS_OS_8!U20</f>
        <v>24245</v>
      </c>
      <c r="F20" s="40">
        <f>'Pri Sec_outstanding_6'!R20</f>
        <v>63567</v>
      </c>
      <c r="G20" s="44">
        <f t="shared" si="0"/>
        <v>5.419478660311167</v>
      </c>
      <c r="H20" s="42">
        <f>NPA_PS_14!N20+NPA_NPS_15!L20</f>
        <v>3445</v>
      </c>
      <c r="I20" s="220">
        <f t="shared" si="1"/>
        <v>0</v>
      </c>
    </row>
    <row r="21" spans="1:9" ht="15">
      <c r="A21" s="256">
        <v>16</v>
      </c>
      <c r="B21" s="257" t="s">
        <v>66</v>
      </c>
      <c r="C21" s="115">
        <v>11339</v>
      </c>
      <c r="D21" s="115">
        <v>89701</v>
      </c>
      <c r="E21" s="40">
        <f>'Pri Sec_outstanding_6'!O21+NPS_OS_8!U21</f>
        <v>315123</v>
      </c>
      <c r="F21" s="40">
        <f>'Pri Sec_outstanding_6'!R21</f>
        <v>1299950</v>
      </c>
      <c r="G21" s="44">
        <f t="shared" si="0"/>
        <v>6.900342320858495</v>
      </c>
      <c r="H21" s="42">
        <f>NPA_PS_14!N21+NPA_NPS_15!L21</f>
        <v>89701.47</v>
      </c>
      <c r="I21" s="220">
        <f t="shared" si="1"/>
        <v>0.47000000000116415</v>
      </c>
    </row>
    <row r="22" spans="1:9" ht="15">
      <c r="A22" s="256">
        <v>17</v>
      </c>
      <c r="B22" s="152" t="s">
        <v>67</v>
      </c>
      <c r="C22" s="115">
        <v>9922</v>
      </c>
      <c r="D22" s="115">
        <v>21568</v>
      </c>
      <c r="E22" s="40">
        <f>'Pri Sec_outstanding_6'!O22+NPS_OS_8!U22</f>
        <v>44527</v>
      </c>
      <c r="F22" s="40">
        <f>'Pri Sec_outstanding_6'!R22</f>
        <v>139602</v>
      </c>
      <c r="G22" s="44">
        <f t="shared" si="0"/>
        <v>15.449635392043094</v>
      </c>
      <c r="H22" s="42">
        <f>NPA_PS_14!N22+NPA_NPS_15!L22</f>
        <v>21568</v>
      </c>
      <c r="I22" s="220">
        <f t="shared" si="1"/>
        <v>0</v>
      </c>
    </row>
    <row r="23" spans="1:9" ht="15">
      <c r="A23" s="256">
        <v>18</v>
      </c>
      <c r="B23" s="153" t="s">
        <v>253</v>
      </c>
      <c r="C23" s="115">
        <v>15270</v>
      </c>
      <c r="D23" s="115">
        <v>73149</v>
      </c>
      <c r="E23" s="40">
        <f>'Pri Sec_outstanding_6'!O23+NPS_OS_8!U23</f>
        <v>153826</v>
      </c>
      <c r="F23" s="40">
        <f>'Pri Sec_outstanding_6'!R23</f>
        <v>441727</v>
      </c>
      <c r="G23" s="44">
        <f t="shared" si="0"/>
        <v>16.559775608011282</v>
      </c>
      <c r="H23" s="42">
        <f>NPA_PS_14!N23+NPA_NPS_15!L23</f>
        <v>73149</v>
      </c>
      <c r="I23" s="220">
        <f t="shared" si="1"/>
        <v>0</v>
      </c>
    </row>
    <row r="24" spans="1:9" ht="15">
      <c r="A24" s="256">
        <v>19</v>
      </c>
      <c r="B24" s="154" t="s">
        <v>68</v>
      </c>
      <c r="C24" s="115">
        <v>51688</v>
      </c>
      <c r="D24" s="115">
        <v>67734.95</v>
      </c>
      <c r="E24" s="40">
        <f>'Pri Sec_outstanding_6'!O24+NPS_OS_8!U24</f>
        <v>229925</v>
      </c>
      <c r="F24" s="40">
        <f>'Pri Sec_outstanding_6'!R24</f>
        <v>771979.34</v>
      </c>
      <c r="G24" s="44">
        <f t="shared" si="0"/>
        <v>8.774192065813574</v>
      </c>
      <c r="H24" s="42">
        <f>NPA_PS_14!N24+NPA_NPS_15!L24</f>
        <v>67734.6979</v>
      </c>
      <c r="I24" s="220">
        <f t="shared" si="1"/>
        <v>-0.25209999999788124</v>
      </c>
    </row>
    <row r="25" spans="1:9" ht="15">
      <c r="A25" s="256">
        <v>20</v>
      </c>
      <c r="B25" s="257" t="s">
        <v>69</v>
      </c>
      <c r="C25" s="115">
        <v>204</v>
      </c>
      <c r="D25" s="115">
        <v>8275</v>
      </c>
      <c r="E25" s="40">
        <f>'Pri Sec_outstanding_6'!O25+NPS_OS_8!U25</f>
        <v>2612</v>
      </c>
      <c r="F25" s="40">
        <f>'Pri Sec_outstanding_6'!R25</f>
        <v>32858</v>
      </c>
      <c r="G25" s="44">
        <f t="shared" si="0"/>
        <v>25.184125631505264</v>
      </c>
      <c r="H25" s="42">
        <f>NPA_PS_14!N25+NPA_NPS_15!L25</f>
        <v>8275</v>
      </c>
      <c r="I25" s="220">
        <f t="shared" si="1"/>
        <v>0</v>
      </c>
    </row>
    <row r="26" spans="1:9" ht="15">
      <c r="A26" s="256">
        <v>21</v>
      </c>
      <c r="B26" s="257" t="s">
        <v>52</v>
      </c>
      <c r="C26" s="115">
        <v>1107</v>
      </c>
      <c r="D26" s="115">
        <v>2663.814</v>
      </c>
      <c r="E26" s="40">
        <f>'Pri Sec_outstanding_6'!O26+NPS_OS_8!U26</f>
        <v>19279</v>
      </c>
      <c r="F26" s="40">
        <f>'Pri Sec_outstanding_6'!R26</f>
        <v>72014</v>
      </c>
      <c r="G26" s="44">
        <f t="shared" si="0"/>
        <v>3.699022412308717</v>
      </c>
      <c r="H26" s="42">
        <f>NPA_PS_14!N26+NPA_NPS_15!L26</f>
        <v>2663.69</v>
      </c>
      <c r="I26" s="220">
        <f t="shared" si="1"/>
        <v>-0.12399999999979627</v>
      </c>
    </row>
    <row r="27" spans="1:9" ht="15">
      <c r="A27" s="263"/>
      <c r="B27" s="259" t="s">
        <v>293</v>
      </c>
      <c r="C27" s="229">
        <f>SUM(C6:C26)</f>
        <v>296848</v>
      </c>
      <c r="D27" s="229">
        <f>SUM(D6:D26)</f>
        <v>799465.6374968999</v>
      </c>
      <c r="E27" s="229">
        <f>SUM(E6:E26)</f>
        <v>2462678</v>
      </c>
      <c r="F27" s="229">
        <f>SUM(F6:F26)</f>
        <v>9260133.25</v>
      </c>
      <c r="G27" s="255">
        <f t="shared" si="0"/>
        <v>8.633413968388629</v>
      </c>
      <c r="H27" s="42">
        <f>NPA_PS_14!N27+NPA_NPS_15!L27</f>
        <v>799465.2468982001</v>
      </c>
      <c r="I27" s="220">
        <f t="shared" si="1"/>
        <v>-0.3905986997997388</v>
      </c>
    </row>
    <row r="28" spans="1:9" ht="15">
      <c r="A28" s="256">
        <v>22</v>
      </c>
      <c r="B28" s="257" t="s">
        <v>294</v>
      </c>
      <c r="C28" s="115">
        <v>71</v>
      </c>
      <c r="D28" s="115">
        <v>924.49</v>
      </c>
      <c r="E28" s="40">
        <f>'Pri Sec_outstanding_6'!O28+NPS_OS_8!U28</f>
        <v>282</v>
      </c>
      <c r="F28" s="40">
        <f>'Pri Sec_outstanding_6'!R28</f>
        <v>34809</v>
      </c>
      <c r="G28" s="44">
        <f t="shared" si="0"/>
        <v>2.6558935907380277</v>
      </c>
      <c r="H28" s="42">
        <f>NPA_PS_14!N28+NPA_NPS_15!L28</f>
        <v>924.0600000000001</v>
      </c>
      <c r="I28" s="220">
        <f t="shared" si="1"/>
        <v>-0.42999999999995</v>
      </c>
    </row>
    <row r="29" spans="1:9" ht="15">
      <c r="A29" s="256">
        <v>23</v>
      </c>
      <c r="B29" s="257" t="s">
        <v>295</v>
      </c>
      <c r="C29" s="115">
        <v>57</v>
      </c>
      <c r="D29" s="115">
        <v>4855.4</v>
      </c>
      <c r="E29" s="40">
        <f>'Pri Sec_outstanding_6'!O29+NPS_OS_8!U29</f>
        <v>426</v>
      </c>
      <c r="F29" s="40">
        <f>'Pri Sec_outstanding_6'!R29</f>
        <v>61150</v>
      </c>
      <c r="G29" s="44">
        <f t="shared" si="0"/>
        <v>7.940147179067865</v>
      </c>
      <c r="H29" s="42">
        <f>NPA_PS_14!N29+NPA_NPS_15!L29</f>
        <v>4855.4</v>
      </c>
      <c r="I29" s="220">
        <f t="shared" si="1"/>
        <v>0</v>
      </c>
    </row>
    <row r="30" spans="1:9" ht="15">
      <c r="A30" s="256">
        <v>24</v>
      </c>
      <c r="B30" s="257" t="s">
        <v>296</v>
      </c>
      <c r="C30" s="115">
        <v>9</v>
      </c>
      <c r="D30" s="115">
        <v>22.99</v>
      </c>
      <c r="E30" s="40">
        <f>'Pri Sec_outstanding_6'!O30+NPS_OS_8!U30</f>
        <v>400</v>
      </c>
      <c r="F30" s="40">
        <f>'Pri Sec_outstanding_6'!R30</f>
        <v>97032</v>
      </c>
      <c r="G30" s="44">
        <f t="shared" si="0"/>
        <v>0.023693214609613322</v>
      </c>
      <c r="H30" s="42">
        <f>NPA_PS_14!N30+NPA_NPS_15!L30</f>
        <v>23</v>
      </c>
      <c r="I30" s="220">
        <f t="shared" si="1"/>
        <v>0.010000000000001563</v>
      </c>
    </row>
    <row r="31" spans="1:9" ht="15">
      <c r="A31" s="256">
        <v>25</v>
      </c>
      <c r="B31" s="258" t="s">
        <v>297</v>
      </c>
      <c r="C31" s="115"/>
      <c r="D31" s="115">
        <v>1380</v>
      </c>
      <c r="E31" s="40">
        <f>'Pri Sec_outstanding_6'!O31+NPS_OS_8!U31</f>
        <v>112</v>
      </c>
      <c r="F31" s="40">
        <f>'Pri Sec_outstanding_6'!R31</f>
        <v>7917</v>
      </c>
      <c r="G31" s="44">
        <f t="shared" si="0"/>
        <v>17.430845017051915</v>
      </c>
      <c r="H31" s="42">
        <f>NPA_PS_14!N31+NPA_NPS_15!L31</f>
        <v>1380</v>
      </c>
      <c r="I31" s="220">
        <f t="shared" si="1"/>
        <v>0</v>
      </c>
    </row>
    <row r="32" spans="1:9" ht="15">
      <c r="A32" s="256">
        <v>26</v>
      </c>
      <c r="B32" s="257" t="s">
        <v>298</v>
      </c>
      <c r="C32" s="115">
        <v>458</v>
      </c>
      <c r="D32" s="115">
        <v>7577.39</v>
      </c>
      <c r="E32" s="40">
        <f>'Pri Sec_outstanding_6'!O32+NPS_OS_8!U32</f>
        <v>5148</v>
      </c>
      <c r="F32" s="40">
        <f>'Pri Sec_outstanding_6'!R32</f>
        <v>81765</v>
      </c>
      <c r="G32" s="44">
        <f t="shared" si="0"/>
        <v>9.267278175258362</v>
      </c>
      <c r="H32" s="42">
        <f>NPA_PS_14!N32+NPA_NPS_15!L32</f>
        <v>7577.09</v>
      </c>
      <c r="I32" s="220">
        <f t="shared" si="1"/>
        <v>-0.3000000000001819</v>
      </c>
    </row>
    <row r="33" spans="1:9" ht="15">
      <c r="A33" s="256">
        <v>27</v>
      </c>
      <c r="B33" s="257" t="s">
        <v>72</v>
      </c>
      <c r="C33" s="115">
        <v>123371</v>
      </c>
      <c r="D33" s="115">
        <v>119417</v>
      </c>
      <c r="E33" s="40">
        <f>'Pri Sec_outstanding_6'!O33+NPS_OS_8!U33</f>
        <v>2304476</v>
      </c>
      <c r="F33" s="40">
        <f>'Pri Sec_outstanding_6'!R33</f>
        <v>5640378</v>
      </c>
      <c r="G33" s="44">
        <f t="shared" si="0"/>
        <v>2.1171807988755362</v>
      </c>
      <c r="H33" s="42">
        <f>NPA_PS_14!N33+NPA_NPS_15!L33</f>
        <v>119417</v>
      </c>
      <c r="I33" s="220">
        <f t="shared" si="1"/>
        <v>0</v>
      </c>
    </row>
    <row r="34" spans="1:9" ht="15">
      <c r="A34" s="263"/>
      <c r="B34" s="259" t="s">
        <v>299</v>
      </c>
      <c r="C34" s="229">
        <f>SUM(C28:C33)</f>
        <v>123966</v>
      </c>
      <c r="D34" s="229">
        <f>SUM(D28:D33)</f>
        <v>134177.27</v>
      </c>
      <c r="E34" s="229">
        <f>SUM(E28:E33)</f>
        <v>2310844</v>
      </c>
      <c r="F34" s="229">
        <f>SUM(F28:F33)</f>
        <v>5923051</v>
      </c>
      <c r="G34" s="255">
        <f t="shared" si="0"/>
        <v>2.2653404470094887</v>
      </c>
      <c r="H34" s="42">
        <f>NPA_PS_14!N34+NPA_NPS_15!L34</f>
        <v>134176.55</v>
      </c>
      <c r="I34" s="220">
        <f t="shared" si="1"/>
        <v>-0.7200000000011642</v>
      </c>
    </row>
    <row r="35" spans="1:9" ht="15">
      <c r="A35" s="256">
        <v>28</v>
      </c>
      <c r="B35" s="257" t="s">
        <v>49</v>
      </c>
      <c r="C35" s="115">
        <v>1495</v>
      </c>
      <c r="D35" s="115">
        <v>4462.34</v>
      </c>
      <c r="E35" s="40">
        <f>'Pri Sec_outstanding_6'!O35+NPS_OS_8!U35</f>
        <v>172811</v>
      </c>
      <c r="F35" s="40">
        <f>'Pri Sec_outstanding_6'!R35</f>
        <v>571972</v>
      </c>
      <c r="G35" s="44">
        <f t="shared" si="0"/>
        <v>0.7801675606498221</v>
      </c>
      <c r="H35" s="42">
        <f>NPA_PS_14!N35+NPA_NPS_15!L35</f>
        <v>4462</v>
      </c>
      <c r="I35" s="220">
        <f t="shared" si="1"/>
        <v>-0.3400000000001455</v>
      </c>
    </row>
    <row r="36" spans="1:9" ht="15">
      <c r="A36" s="256">
        <v>29</v>
      </c>
      <c r="B36" s="204" t="s">
        <v>53</v>
      </c>
      <c r="C36" s="115">
        <v>8</v>
      </c>
      <c r="D36" s="115">
        <v>178.77</v>
      </c>
      <c r="E36" s="40">
        <f>'Pri Sec_outstanding_6'!O36+NPS_OS_8!U36</f>
        <v>296</v>
      </c>
      <c r="F36" s="40">
        <f>'Pri Sec_outstanding_6'!R36</f>
        <v>8698</v>
      </c>
      <c r="G36" s="44">
        <f t="shared" si="0"/>
        <v>2.055300068981375</v>
      </c>
      <c r="H36" s="42">
        <f>NPA_PS_14!N36+NPA_NPS_15!L36</f>
        <v>179</v>
      </c>
      <c r="I36" s="220">
        <f t="shared" si="1"/>
        <v>0.22999999999998977</v>
      </c>
    </row>
    <row r="37" spans="1:9" ht="15">
      <c r="A37" s="256">
        <v>30</v>
      </c>
      <c r="B37" s="204" t="s">
        <v>300</v>
      </c>
      <c r="C37" s="115">
        <v>0</v>
      </c>
      <c r="D37" s="115">
        <v>628</v>
      </c>
      <c r="E37" s="40">
        <f>'Pri Sec_outstanding_6'!O37+NPS_OS_8!U37</f>
        <v>0</v>
      </c>
      <c r="F37" s="40">
        <f>'Pri Sec_outstanding_6'!R37</f>
        <v>38864</v>
      </c>
      <c r="G37" s="44">
        <f t="shared" si="0"/>
        <v>1.6158913132976533</v>
      </c>
      <c r="H37" s="42">
        <f>NPA_PS_14!N37+NPA_NPS_15!L37</f>
        <v>628</v>
      </c>
      <c r="I37" s="220">
        <f t="shared" si="1"/>
        <v>0</v>
      </c>
    </row>
    <row r="38" spans="1:9" ht="15">
      <c r="A38" s="256">
        <v>31</v>
      </c>
      <c r="B38" s="257" t="s">
        <v>301</v>
      </c>
      <c r="C38" s="115">
        <v>0</v>
      </c>
      <c r="D38" s="115">
        <v>0</v>
      </c>
      <c r="E38" s="40">
        <f>'Pri Sec_outstanding_6'!O38+NPS_OS_8!U38</f>
        <v>0</v>
      </c>
      <c r="F38" s="40">
        <f>'Pri Sec_outstanding_6'!R38</f>
        <v>28</v>
      </c>
      <c r="G38" s="44">
        <f t="shared" si="0"/>
        <v>0</v>
      </c>
      <c r="H38" s="42">
        <f>NPA_PS_14!N38+NPA_NPS_15!L38</f>
        <v>0</v>
      </c>
      <c r="I38" s="220">
        <f t="shared" si="1"/>
        <v>0</v>
      </c>
    </row>
    <row r="39" spans="1:9" ht="15">
      <c r="A39" s="256">
        <v>32</v>
      </c>
      <c r="B39" s="257" t="s">
        <v>302</v>
      </c>
      <c r="C39" s="115">
        <v>31</v>
      </c>
      <c r="D39" s="115">
        <v>1265.58</v>
      </c>
      <c r="E39" s="40">
        <f>'Pri Sec_outstanding_6'!O39+NPS_OS_8!U39</f>
        <v>4530</v>
      </c>
      <c r="F39" s="40">
        <f>'Pri Sec_outstanding_6'!R39</f>
        <v>15259</v>
      </c>
      <c r="G39" s="44">
        <f t="shared" si="0"/>
        <v>8.293990431876269</v>
      </c>
      <c r="H39" s="42">
        <f>NPA_PS_14!N39+NPA_NPS_15!L39</f>
        <v>1266</v>
      </c>
      <c r="I39" s="220">
        <f t="shared" si="1"/>
        <v>0.42000000000007276</v>
      </c>
    </row>
    <row r="40" spans="1:9" ht="15">
      <c r="A40" s="256">
        <v>33</v>
      </c>
      <c r="B40" s="257" t="s">
        <v>303</v>
      </c>
      <c r="C40" s="115">
        <v>9589</v>
      </c>
      <c r="D40" s="115">
        <v>21500.21</v>
      </c>
      <c r="E40" s="40">
        <f>'Pri Sec_outstanding_6'!O40+NPS_OS_8!U40</f>
        <v>523797</v>
      </c>
      <c r="F40" s="40">
        <f>'Pri Sec_outstanding_6'!R40</f>
        <v>1121228</v>
      </c>
      <c r="G40" s="44">
        <f t="shared" si="0"/>
        <v>1.9175591405137937</v>
      </c>
      <c r="H40" s="42">
        <f>NPA_PS_14!N40+NPA_NPS_15!L40</f>
        <v>21501</v>
      </c>
      <c r="I40" s="220">
        <f t="shared" si="1"/>
        <v>0.7900000000008731</v>
      </c>
    </row>
    <row r="41" spans="1:9" ht="15">
      <c r="A41" s="256">
        <v>34</v>
      </c>
      <c r="B41" s="257" t="s">
        <v>304</v>
      </c>
      <c r="C41" s="115">
        <v>8660</v>
      </c>
      <c r="D41" s="115">
        <v>26972.5</v>
      </c>
      <c r="E41" s="40">
        <f>'Pri Sec_outstanding_6'!O41+NPS_OS_8!U41</f>
        <v>275393</v>
      </c>
      <c r="F41" s="40">
        <f>'Pri Sec_outstanding_6'!R41</f>
        <v>1038802.319</v>
      </c>
      <c r="G41" s="44">
        <f t="shared" si="0"/>
        <v>2.596499786982089</v>
      </c>
      <c r="H41" s="42">
        <f>NPA_PS_14!N41+NPA_NPS_15!L41</f>
        <v>26972.5</v>
      </c>
      <c r="I41" s="220">
        <f t="shared" si="1"/>
        <v>0</v>
      </c>
    </row>
    <row r="42" spans="1:9" ht="15">
      <c r="A42" s="256">
        <v>35</v>
      </c>
      <c r="B42" s="257" t="s">
        <v>305</v>
      </c>
      <c r="C42" s="115">
        <v>0</v>
      </c>
      <c r="D42" s="115">
        <v>0</v>
      </c>
      <c r="E42" s="40">
        <f>'Pri Sec_outstanding_6'!O42+NPS_OS_8!U42</f>
        <v>6562</v>
      </c>
      <c r="F42" s="40">
        <f>'Pri Sec_outstanding_6'!R42</f>
        <v>239001</v>
      </c>
      <c r="G42" s="44">
        <f t="shared" si="0"/>
        <v>0</v>
      </c>
      <c r="H42" s="42">
        <f>NPA_PS_14!N42+NPA_NPS_15!L42</f>
        <v>0</v>
      </c>
      <c r="I42" s="220">
        <f t="shared" si="1"/>
        <v>0</v>
      </c>
    </row>
    <row r="43" spans="1:9" ht="15">
      <c r="A43" s="256">
        <v>36</v>
      </c>
      <c r="B43" s="257" t="s">
        <v>255</v>
      </c>
      <c r="C43" s="115">
        <v>0</v>
      </c>
      <c r="D43" s="115">
        <v>0</v>
      </c>
      <c r="E43" s="40">
        <f>'Pri Sec_outstanding_6'!O43+NPS_OS_8!U43</f>
        <v>156509</v>
      </c>
      <c r="F43" s="40">
        <f>'Pri Sec_outstanding_6'!R43</f>
        <v>41468</v>
      </c>
      <c r="G43" s="44">
        <f t="shared" si="0"/>
        <v>0</v>
      </c>
      <c r="H43" s="42">
        <f>NPA_PS_14!N43+NPA_NPS_15!L43</f>
        <v>0</v>
      </c>
      <c r="I43" s="220">
        <f t="shared" si="1"/>
        <v>0</v>
      </c>
    </row>
    <row r="44" spans="1:9" ht="15">
      <c r="A44" s="256">
        <v>37</v>
      </c>
      <c r="B44" s="257" t="s">
        <v>306</v>
      </c>
      <c r="C44" s="115">
        <v>46</v>
      </c>
      <c r="D44" s="115">
        <v>194</v>
      </c>
      <c r="E44" s="40">
        <f>'Pri Sec_outstanding_6'!O44+NPS_OS_8!U44</f>
        <v>484</v>
      </c>
      <c r="F44" s="40">
        <f>'Pri Sec_outstanding_6'!R44</f>
        <v>1536</v>
      </c>
      <c r="G44" s="44">
        <f t="shared" si="0"/>
        <v>12.630208333333334</v>
      </c>
      <c r="H44" s="42">
        <f>NPA_PS_14!N44+NPA_NPS_15!L44</f>
        <v>194</v>
      </c>
      <c r="I44" s="220">
        <f t="shared" si="1"/>
        <v>0</v>
      </c>
    </row>
    <row r="45" spans="1:9" ht="15">
      <c r="A45" s="256">
        <v>38</v>
      </c>
      <c r="B45" s="257" t="s">
        <v>307</v>
      </c>
      <c r="C45" s="115">
        <v>242</v>
      </c>
      <c r="D45" s="115">
        <v>2045</v>
      </c>
      <c r="E45" s="40">
        <f>'Pri Sec_outstanding_6'!O45+NPS_OS_8!U45</f>
        <v>5451</v>
      </c>
      <c r="F45" s="40">
        <f>'Pri Sec_outstanding_6'!R45</f>
        <v>32769</v>
      </c>
      <c r="G45" s="44">
        <f t="shared" si="0"/>
        <v>6.240654276908053</v>
      </c>
      <c r="H45" s="42">
        <f>NPA_PS_14!N45+NPA_NPS_15!L45</f>
        <v>2045</v>
      </c>
      <c r="I45" s="220">
        <f t="shared" si="1"/>
        <v>0</v>
      </c>
    </row>
    <row r="46" spans="1:9" ht="15">
      <c r="A46" s="256">
        <v>39</v>
      </c>
      <c r="B46" s="257" t="s">
        <v>95</v>
      </c>
      <c r="C46" s="115">
        <v>4</v>
      </c>
      <c r="D46" s="115">
        <v>74</v>
      </c>
      <c r="E46" s="40">
        <f>'Pri Sec_outstanding_6'!O46+NPS_OS_8!U46</f>
        <v>402</v>
      </c>
      <c r="F46" s="40">
        <f>'Pri Sec_outstanding_6'!R46</f>
        <v>14046</v>
      </c>
      <c r="G46" s="44">
        <f t="shared" si="0"/>
        <v>0.5268403816033035</v>
      </c>
      <c r="H46" s="42">
        <f>NPA_PS_14!N46+NPA_NPS_15!L46</f>
        <v>74</v>
      </c>
      <c r="I46" s="220">
        <f t="shared" si="1"/>
        <v>0</v>
      </c>
    </row>
    <row r="47" spans="1:9" ht="15">
      <c r="A47" s="256">
        <v>40</v>
      </c>
      <c r="B47" s="257" t="s">
        <v>308</v>
      </c>
      <c r="C47" s="115">
        <v>0</v>
      </c>
      <c r="D47" s="115">
        <v>0</v>
      </c>
      <c r="E47" s="40">
        <f>'Pri Sec_outstanding_6'!O47+NPS_OS_8!U47</f>
        <v>36123</v>
      </c>
      <c r="F47" s="40">
        <f>'Pri Sec_outstanding_6'!R47</f>
        <v>197570</v>
      </c>
      <c r="G47" s="44">
        <f t="shared" si="0"/>
        <v>0</v>
      </c>
      <c r="H47" s="42">
        <f>NPA_PS_14!N47+NPA_NPS_15!L47</f>
        <v>0</v>
      </c>
      <c r="I47" s="220">
        <f t="shared" si="1"/>
        <v>0</v>
      </c>
    </row>
    <row r="48" spans="1:9" ht="15">
      <c r="A48" s="256">
        <v>41</v>
      </c>
      <c r="B48" s="257" t="s">
        <v>309</v>
      </c>
      <c r="C48" s="115">
        <v>7</v>
      </c>
      <c r="D48" s="115">
        <v>24.63</v>
      </c>
      <c r="E48" s="40">
        <f>'Pri Sec_outstanding_6'!O48+NPS_OS_8!U48</f>
        <v>120</v>
      </c>
      <c r="F48" s="40">
        <f>'Pri Sec_outstanding_6'!R48</f>
        <v>3741</v>
      </c>
      <c r="G48" s="44">
        <f t="shared" si="0"/>
        <v>0.6583801122694467</v>
      </c>
      <c r="H48" s="42">
        <f>NPA_PS_14!N48+NPA_NPS_15!L48</f>
        <v>25</v>
      </c>
      <c r="I48" s="220">
        <f t="shared" si="1"/>
        <v>0.370000000000001</v>
      </c>
    </row>
    <row r="49" spans="1:9" ht="15">
      <c r="A49" s="256">
        <v>42</v>
      </c>
      <c r="B49" s="260" t="s">
        <v>310</v>
      </c>
      <c r="C49" s="115">
        <v>5</v>
      </c>
      <c r="D49" s="115">
        <v>88.75</v>
      </c>
      <c r="E49" s="40">
        <f>'Pri Sec_outstanding_6'!O49+NPS_OS_8!U49</f>
        <v>204</v>
      </c>
      <c r="F49" s="40">
        <f>'Pri Sec_outstanding_6'!R49</f>
        <v>4776</v>
      </c>
      <c r="G49" s="44">
        <f t="shared" si="0"/>
        <v>1.858249581239531</v>
      </c>
      <c r="H49" s="42">
        <f>NPA_PS_14!N49+NPA_NPS_15!L49</f>
        <v>88</v>
      </c>
      <c r="I49" s="220">
        <f t="shared" si="1"/>
        <v>-0.75</v>
      </c>
    </row>
    <row r="50" spans="1:9" ht="15">
      <c r="A50" s="256">
        <v>43</v>
      </c>
      <c r="B50" s="257" t="s">
        <v>311</v>
      </c>
      <c r="C50" s="115">
        <v>1467</v>
      </c>
      <c r="D50" s="115">
        <v>223.06</v>
      </c>
      <c r="E50" s="40">
        <f>'Pri Sec_outstanding_6'!O50+NPS_OS_8!U50</f>
        <v>168516</v>
      </c>
      <c r="F50" s="40">
        <f>'Pri Sec_outstanding_6'!R50</f>
        <v>78373.0693641596</v>
      </c>
      <c r="G50" s="44">
        <f t="shared" si="0"/>
        <v>0.28461307156869686</v>
      </c>
      <c r="H50" s="42">
        <f>NPA_PS_14!N50+NPA_NPS_15!L50</f>
        <v>223</v>
      </c>
      <c r="I50" s="220">
        <f t="shared" si="1"/>
        <v>-0.060000000000002274</v>
      </c>
    </row>
    <row r="51" spans="1:9" ht="15">
      <c r="A51" s="256">
        <v>44</v>
      </c>
      <c r="B51" s="257" t="s">
        <v>78</v>
      </c>
      <c r="C51" s="115">
        <v>0</v>
      </c>
      <c r="D51" s="115">
        <v>0</v>
      </c>
      <c r="E51" s="40">
        <f>'Pri Sec_outstanding_6'!O51+NPS_OS_8!U51</f>
        <v>13765</v>
      </c>
      <c r="F51" s="40">
        <f>'Pri Sec_outstanding_6'!R51</f>
        <v>79100</v>
      </c>
      <c r="G51" s="44">
        <f t="shared" si="0"/>
        <v>0</v>
      </c>
      <c r="H51" s="42">
        <f>NPA_PS_14!N51+NPA_NPS_15!L51</f>
        <v>0</v>
      </c>
      <c r="I51" s="220">
        <f t="shared" si="1"/>
        <v>0</v>
      </c>
    </row>
    <row r="52" spans="1:9" ht="15">
      <c r="A52" s="207"/>
      <c r="B52" s="259" t="s">
        <v>274</v>
      </c>
      <c r="C52" s="229">
        <f>SUM(C35:C51)</f>
        <v>21554</v>
      </c>
      <c r="D52" s="229">
        <f>SUM(D35:D51)</f>
        <v>57656.84</v>
      </c>
      <c r="E52" s="229">
        <f>SUM(E35:E51)</f>
        <v>1364963</v>
      </c>
      <c r="F52" s="229">
        <f>SUM(F35:F51)</f>
        <v>3487231.3883641595</v>
      </c>
      <c r="G52" s="255">
        <f t="shared" si="0"/>
        <v>1.6533700686562842</v>
      </c>
      <c r="H52" s="42">
        <f>NPA_PS_14!N52+NPA_NPS_15!L52</f>
        <v>57657.5</v>
      </c>
      <c r="I52" s="220">
        <f t="shared" si="1"/>
        <v>0.6600000000034925</v>
      </c>
    </row>
    <row r="53" spans="1:9" ht="15">
      <c r="A53" s="256">
        <v>45</v>
      </c>
      <c r="B53" s="257" t="s">
        <v>48</v>
      </c>
      <c r="C53" s="115">
        <v>94209</v>
      </c>
      <c r="D53" s="115">
        <v>51192</v>
      </c>
      <c r="E53" s="40">
        <f>'Pri Sec_outstanding_6'!O53+NPS_OS_8!U53</f>
        <v>381405</v>
      </c>
      <c r="F53" s="40">
        <f>'Pri Sec_outstanding_6'!R53</f>
        <v>381315</v>
      </c>
      <c r="G53" s="44">
        <f t="shared" si="0"/>
        <v>13.42512096298336</v>
      </c>
      <c r="H53" s="42">
        <f>NPA_PS_14!N53+NPA_NPS_15!L53</f>
        <v>51192</v>
      </c>
      <c r="I53" s="220">
        <f t="shared" si="1"/>
        <v>0</v>
      </c>
    </row>
    <row r="54" spans="1:9" ht="15">
      <c r="A54" s="256">
        <v>46</v>
      </c>
      <c r="B54" s="257" t="s">
        <v>269</v>
      </c>
      <c r="C54" s="115">
        <v>72970</v>
      </c>
      <c r="D54" s="115">
        <v>46881</v>
      </c>
      <c r="E54" s="40">
        <f>'Pri Sec_outstanding_6'!O54+NPS_OS_8!U54</f>
        <v>350945</v>
      </c>
      <c r="F54" s="40">
        <f>'Pri Sec_outstanding_6'!R54</f>
        <v>257676</v>
      </c>
      <c r="G54" s="44">
        <f t="shared" si="0"/>
        <v>18.193778233129976</v>
      </c>
      <c r="H54" s="42">
        <f>NPA_PS_14!N54+NPA_NPS_15!L54</f>
        <v>46881</v>
      </c>
      <c r="I54" s="220">
        <f t="shared" si="1"/>
        <v>0</v>
      </c>
    </row>
    <row r="55" spans="1:9" ht="15">
      <c r="A55" s="256">
        <v>47</v>
      </c>
      <c r="B55" s="257" t="s">
        <v>54</v>
      </c>
      <c r="C55" s="115">
        <v>18922</v>
      </c>
      <c r="D55" s="115">
        <v>12915</v>
      </c>
      <c r="E55" s="40">
        <f>'Pri Sec_outstanding_6'!O55+NPS_OS_8!U55</f>
        <v>348898</v>
      </c>
      <c r="F55" s="40">
        <f>'Pri Sec_outstanding_6'!R55</f>
        <v>431547.25042411</v>
      </c>
      <c r="G55" s="44">
        <f t="shared" si="0"/>
        <v>2.9927197977295825</v>
      </c>
      <c r="H55" s="42">
        <f>NPA_PS_14!N55+NPA_NPS_15!L55</f>
        <v>12915</v>
      </c>
      <c r="I55" s="220">
        <f t="shared" si="1"/>
        <v>0</v>
      </c>
    </row>
    <row r="56" spans="1:9" ht="15">
      <c r="A56" s="207"/>
      <c r="B56" s="259" t="s">
        <v>270</v>
      </c>
      <c r="C56" s="229">
        <f>SUM(C53:C55)</f>
        <v>186101</v>
      </c>
      <c r="D56" s="229">
        <f>SUM(D53:D55)</f>
        <v>110988</v>
      </c>
      <c r="E56" s="229">
        <f>SUM(E53:E55)</f>
        <v>1081248</v>
      </c>
      <c r="F56" s="229">
        <f>SUM(F53:F55)</f>
        <v>1070538.2504241099</v>
      </c>
      <c r="G56" s="255">
        <f t="shared" si="0"/>
        <v>10.367495038690157</v>
      </c>
      <c r="H56" s="42">
        <f>NPA_PS_14!N56+NPA_NPS_15!L56</f>
        <v>110988</v>
      </c>
      <c r="I56" s="220">
        <f t="shared" si="1"/>
        <v>0</v>
      </c>
    </row>
    <row r="57" spans="1:9" ht="15">
      <c r="A57" s="256">
        <v>48</v>
      </c>
      <c r="B57" s="257" t="s">
        <v>312</v>
      </c>
      <c r="C57" s="115">
        <v>0</v>
      </c>
      <c r="D57" s="115">
        <v>0</v>
      </c>
      <c r="E57" s="40">
        <f>'Pri Sec_outstanding_6'!O57+NPS_OS_8!U57</f>
        <v>5298069</v>
      </c>
      <c r="F57" s="40">
        <f>'Pri Sec_outstanding_6'!R57</f>
        <v>1141298</v>
      </c>
      <c r="G57" s="44">
        <f t="shared" si="0"/>
        <v>0</v>
      </c>
      <c r="H57" s="42">
        <f>NPA_PS_14!N57+NPA_NPS_15!L57</f>
        <v>0</v>
      </c>
      <c r="I57" s="220">
        <f t="shared" si="1"/>
        <v>0</v>
      </c>
    </row>
    <row r="58" spans="1:9" ht="15">
      <c r="A58" s="207"/>
      <c r="B58" s="259" t="s">
        <v>275</v>
      </c>
      <c r="C58" s="229">
        <f>C57</f>
        <v>0</v>
      </c>
      <c r="D58" s="229">
        <f>D57</f>
        <v>0</v>
      </c>
      <c r="E58" s="40">
        <f>'Pri Sec_outstanding_6'!O58+NPS_OS_8!U58</f>
        <v>5298069</v>
      </c>
      <c r="F58" s="229">
        <f>F57</f>
        <v>1141298</v>
      </c>
      <c r="G58" s="255">
        <f t="shared" si="0"/>
        <v>0</v>
      </c>
      <c r="H58" s="42">
        <f>NPA_PS_14!N58+NPA_NPS_15!L58</f>
        <v>0</v>
      </c>
      <c r="I58" s="220">
        <f t="shared" si="1"/>
        <v>0</v>
      </c>
    </row>
    <row r="59" spans="1:9" ht="15">
      <c r="A59" s="207"/>
      <c r="B59" s="259" t="s">
        <v>276</v>
      </c>
      <c r="C59" s="229">
        <f>C58+C56+C52+C34+C27</f>
        <v>628469</v>
      </c>
      <c r="D59" s="229">
        <f>D58+D56+D52+D34+D27</f>
        <v>1102287.7474969</v>
      </c>
      <c r="E59" s="339">
        <f>'Pri Sec_outstanding_6'!O59+NPS_OS_8!U59</f>
        <v>12517802</v>
      </c>
      <c r="F59" s="229">
        <f>F58+F56+F52+F34+F27</f>
        <v>20882251.888788268</v>
      </c>
      <c r="G59" s="255">
        <f t="shared" si="0"/>
        <v>5.2785865881098815</v>
      </c>
      <c r="H59" s="42">
        <f>NPA_PS_14!N59+NPA_NPS_15!L59</f>
        <v>1102287.2968982002</v>
      </c>
      <c r="I59" s="220">
        <f t="shared" si="1"/>
        <v>-0.45059869973920286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1:G1"/>
    <mergeCell ref="E4:F4"/>
    <mergeCell ref="G4:G5"/>
    <mergeCell ref="A2:F2"/>
    <mergeCell ref="C3:D3"/>
    <mergeCell ref="A4:A5"/>
    <mergeCell ref="B4:B5"/>
    <mergeCell ref="E3:F3"/>
    <mergeCell ref="C4:D4"/>
  </mergeCells>
  <conditionalFormatting sqref="C3">
    <cfRule type="cellIs" priority="8" dxfId="198" operator="lessThan">
      <formula>0</formula>
    </cfRule>
  </conditionalFormatting>
  <conditionalFormatting sqref="E3">
    <cfRule type="cellIs" priority="7" dxfId="198" operator="lessThan">
      <formula>0</formula>
    </cfRule>
  </conditionalFormatting>
  <conditionalFormatting sqref="B6">
    <cfRule type="duplicateValues" priority="1" dxfId="197">
      <formula>AND(COUNTIF($B$6:$B$6,B6)&gt;1,NOT(ISBLANK(B6)))</formula>
    </cfRule>
  </conditionalFormatting>
  <conditionalFormatting sqref="B22">
    <cfRule type="duplicateValues" priority="2" dxfId="197">
      <formula>AND(COUNTIF($B$22:$B$22,B22)&gt;1,NOT(ISBLANK(B22)))</formula>
    </cfRule>
  </conditionalFormatting>
  <conditionalFormatting sqref="B33:B34 B26:B30">
    <cfRule type="duplicateValues" priority="3" dxfId="197">
      <formula>AND(COUNTIF($B$33:$B$34,B26)+COUNTIF($B$26:$B$30,B26)&gt;1,NOT(ISBLANK(B26)))</formula>
    </cfRule>
  </conditionalFormatting>
  <conditionalFormatting sqref="B52">
    <cfRule type="duplicateValues" priority="4" dxfId="197">
      <formula>AND(COUNTIF($B$52:$B$52,B52)&gt;1,NOT(ISBLANK(B52)))</formula>
    </cfRule>
  </conditionalFormatting>
  <conditionalFormatting sqref="B56">
    <cfRule type="duplicateValues" priority="5" dxfId="197">
      <formula>AND(COUNTIF($B$56:$B$56,B56)&gt;1,NOT(ISBLANK(B56)))</formula>
    </cfRule>
  </conditionalFormatting>
  <conditionalFormatting sqref="B58">
    <cfRule type="duplicateValues" priority="6" dxfId="197">
      <formula>AND(COUNTIF($B$58:$B$58,B58)&gt;1,NOT(ISBLANK(B58)))</formula>
    </cfRule>
  </conditionalFormatting>
  <printOptions/>
  <pageMargins left="1.2" right="0.7" top="0.25" bottom="0.25" header="0.3" footer="0.3"/>
  <pageSetup horizontalDpi="600" verticalDpi="6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59"/>
  <sheetViews>
    <sheetView view="pageBreakPreview" zoomScale="60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9.140625" defaultRowHeight="12.75"/>
  <cols>
    <col min="1" max="1" width="5.7109375" style="232" customWidth="1"/>
    <col min="2" max="2" width="24.421875" style="232" customWidth="1"/>
    <col min="3" max="4" width="10.421875" style="232" bestFit="1" customWidth="1"/>
    <col min="5" max="5" width="8.7109375" style="232" bestFit="1" customWidth="1"/>
    <col min="6" max="6" width="9.00390625" style="232" bestFit="1" customWidth="1"/>
    <col min="7" max="7" width="7.00390625" style="232" customWidth="1"/>
    <col min="8" max="8" width="8.7109375" style="232" bestFit="1" customWidth="1"/>
    <col min="9" max="9" width="9.8515625" style="232" bestFit="1" customWidth="1"/>
    <col min="10" max="10" width="10.57421875" style="232" bestFit="1" customWidth="1"/>
    <col min="11" max="12" width="9.140625" style="232" bestFit="1" customWidth="1"/>
    <col min="13" max="13" width="10.140625" style="232" bestFit="1" customWidth="1"/>
    <col min="14" max="14" width="10.421875" style="232" bestFit="1" customWidth="1"/>
    <col min="15" max="15" width="11.421875" style="236" hidden="1" customWidth="1"/>
    <col min="16" max="16" width="0" style="232" hidden="1" customWidth="1"/>
    <col min="17" max="16384" width="9.140625" style="232" customWidth="1"/>
  </cols>
  <sheetData>
    <row r="1" spans="1:15" ht="14.25" customHeight="1">
      <c r="A1" s="605" t="s">
        <v>194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</row>
    <row r="2" spans="1:15" ht="15.75">
      <c r="A2" s="610" t="s">
        <v>32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</row>
    <row r="3" spans="1:12" ht="14.25">
      <c r="A3" s="233"/>
      <c r="B3" s="234" t="s">
        <v>12</v>
      </c>
      <c r="C3" s="233"/>
      <c r="D3" s="235"/>
      <c r="E3" s="235"/>
      <c r="F3" s="235"/>
      <c r="G3" s="235"/>
      <c r="H3" s="235"/>
      <c r="I3" s="615" t="s">
        <v>195</v>
      </c>
      <c r="J3" s="615"/>
      <c r="K3" s="233"/>
      <c r="L3" s="234"/>
    </row>
    <row r="4" spans="1:15" ht="15" customHeight="1">
      <c r="A4" s="618" t="s">
        <v>272</v>
      </c>
      <c r="B4" s="619" t="s">
        <v>3</v>
      </c>
      <c r="C4" s="616" t="s">
        <v>18</v>
      </c>
      <c r="D4" s="617"/>
      <c r="E4" s="616" t="s">
        <v>19</v>
      </c>
      <c r="F4" s="617"/>
      <c r="G4" s="616" t="s">
        <v>20</v>
      </c>
      <c r="H4" s="617"/>
      <c r="I4" s="616" t="s">
        <v>24</v>
      </c>
      <c r="J4" s="617"/>
      <c r="K4" s="618" t="s">
        <v>39</v>
      </c>
      <c r="L4" s="618"/>
      <c r="M4" s="618" t="s">
        <v>114</v>
      </c>
      <c r="N4" s="618"/>
      <c r="O4" s="567" t="s">
        <v>118</v>
      </c>
    </row>
    <row r="5" spans="1:15" ht="15" customHeight="1">
      <c r="A5" s="618"/>
      <c r="B5" s="620"/>
      <c r="C5" s="237" t="s">
        <v>30</v>
      </c>
      <c r="D5" s="237" t="s">
        <v>17</v>
      </c>
      <c r="E5" s="237" t="s">
        <v>30</v>
      </c>
      <c r="F5" s="237" t="s">
        <v>17</v>
      </c>
      <c r="G5" s="237" t="s">
        <v>30</v>
      </c>
      <c r="H5" s="237" t="s">
        <v>17</v>
      </c>
      <c r="I5" s="237" t="s">
        <v>30</v>
      </c>
      <c r="J5" s="237" t="s">
        <v>17</v>
      </c>
      <c r="K5" s="237" t="s">
        <v>30</v>
      </c>
      <c r="L5" s="237" t="s">
        <v>17</v>
      </c>
      <c r="M5" s="237" t="s">
        <v>30</v>
      </c>
      <c r="N5" s="237" t="s">
        <v>17</v>
      </c>
      <c r="O5" s="567"/>
    </row>
    <row r="6" spans="1:16" ht="15" customHeight="1">
      <c r="A6" s="223">
        <v>1</v>
      </c>
      <c r="B6" s="224" t="s">
        <v>57</v>
      </c>
      <c r="C6" s="238">
        <v>9591</v>
      </c>
      <c r="D6" s="238">
        <v>19198.37</v>
      </c>
      <c r="E6" s="238">
        <v>161</v>
      </c>
      <c r="F6" s="239">
        <v>684.96</v>
      </c>
      <c r="G6" s="238">
        <v>250</v>
      </c>
      <c r="H6" s="238">
        <v>549.44</v>
      </c>
      <c r="I6" s="238">
        <v>7140</v>
      </c>
      <c r="J6" s="240">
        <v>20314.1</v>
      </c>
      <c r="K6" s="241">
        <v>0</v>
      </c>
      <c r="L6" s="241">
        <v>0</v>
      </c>
      <c r="M6" s="241">
        <f>C6+E6+G6+I6+K6</f>
        <v>17142</v>
      </c>
      <c r="N6" s="241">
        <f>D6+F6+H6+J6+L6</f>
        <v>40746.869999999995</v>
      </c>
      <c r="O6" s="242">
        <f>N6*100/P6</f>
        <v>6.3704609910228225</v>
      </c>
      <c r="P6" s="232">
        <f>'Pri Sec_outstanding_6'!R6</f>
        <v>639622</v>
      </c>
    </row>
    <row r="7" spans="1:16" ht="15" customHeight="1">
      <c r="A7" s="223">
        <v>2</v>
      </c>
      <c r="B7" s="225" t="s">
        <v>58</v>
      </c>
      <c r="C7" s="157">
        <v>0</v>
      </c>
      <c r="D7" s="157">
        <v>0</v>
      </c>
      <c r="E7" s="157">
        <v>19</v>
      </c>
      <c r="F7" s="157">
        <v>176</v>
      </c>
      <c r="G7" s="157">
        <v>9</v>
      </c>
      <c r="H7" s="157">
        <v>12</v>
      </c>
      <c r="I7" s="157">
        <v>98</v>
      </c>
      <c r="J7" s="157">
        <v>1648</v>
      </c>
      <c r="K7" s="157">
        <v>0</v>
      </c>
      <c r="L7" s="157">
        <v>0</v>
      </c>
      <c r="M7" s="241">
        <f aca="true" t="shared" si="0" ref="M7:N58">C7+E7+G7+I7+K7</f>
        <v>126</v>
      </c>
      <c r="N7" s="241">
        <f t="shared" si="0"/>
        <v>1836</v>
      </c>
      <c r="O7" s="242">
        <f>N7*100/P7</f>
        <v>3.876116283488505</v>
      </c>
      <c r="P7" s="232">
        <f>'Pri Sec_outstanding_6'!R7</f>
        <v>47367</v>
      </c>
    </row>
    <row r="8" spans="1:16" ht="15" customHeight="1">
      <c r="A8" s="223">
        <v>3</v>
      </c>
      <c r="B8" s="225" t="s">
        <v>59</v>
      </c>
      <c r="C8" s="157">
        <v>6451</v>
      </c>
      <c r="D8" s="157">
        <v>13287</v>
      </c>
      <c r="E8" s="157">
        <v>2559</v>
      </c>
      <c r="F8" s="157">
        <v>3442</v>
      </c>
      <c r="G8" s="157">
        <v>359</v>
      </c>
      <c r="H8" s="157">
        <v>1408</v>
      </c>
      <c r="I8" s="157">
        <v>2588</v>
      </c>
      <c r="J8" s="157">
        <v>11117</v>
      </c>
      <c r="K8" s="157">
        <v>1332</v>
      </c>
      <c r="L8" s="157">
        <v>3102</v>
      </c>
      <c r="M8" s="241">
        <f t="shared" si="0"/>
        <v>13289</v>
      </c>
      <c r="N8" s="241">
        <f t="shared" si="0"/>
        <v>32356</v>
      </c>
      <c r="O8" s="242">
        <f aca="true" t="shared" si="1" ref="O8:O59">N8*100/P8</f>
        <v>3.626134708057828</v>
      </c>
      <c r="P8" s="232">
        <f>'Pri Sec_outstanding_6'!R8</f>
        <v>892300</v>
      </c>
    </row>
    <row r="9" spans="1:16" ht="15" customHeight="1">
      <c r="A9" s="223">
        <v>4</v>
      </c>
      <c r="B9" s="225" t="s">
        <v>60</v>
      </c>
      <c r="C9" s="157">
        <v>16383</v>
      </c>
      <c r="D9" s="157">
        <v>28116.935675700002</v>
      </c>
      <c r="E9" s="157">
        <v>1585</v>
      </c>
      <c r="F9" s="157">
        <v>617</v>
      </c>
      <c r="G9" s="157">
        <v>2606</v>
      </c>
      <c r="H9" s="157">
        <v>1611</v>
      </c>
      <c r="I9" s="157">
        <v>14641</v>
      </c>
      <c r="J9" s="157">
        <v>21069.5533225</v>
      </c>
      <c r="K9" s="157">
        <v>1956</v>
      </c>
      <c r="L9" s="157">
        <v>1555</v>
      </c>
      <c r="M9" s="241">
        <f t="shared" si="0"/>
        <v>37171</v>
      </c>
      <c r="N9" s="241">
        <f t="shared" si="0"/>
        <v>52969.4889982</v>
      </c>
      <c r="O9" s="242">
        <f t="shared" si="1"/>
        <v>3.228159979705727</v>
      </c>
      <c r="P9" s="232">
        <f>'Pri Sec_outstanding_6'!R9</f>
        <v>1640857</v>
      </c>
    </row>
    <row r="10" spans="1:16" ht="15" customHeight="1">
      <c r="A10" s="223">
        <v>5</v>
      </c>
      <c r="B10" s="225" t="s">
        <v>61</v>
      </c>
      <c r="C10" s="157">
        <v>7601</v>
      </c>
      <c r="D10" s="157">
        <v>11997</v>
      </c>
      <c r="E10" s="157">
        <v>1736</v>
      </c>
      <c r="F10" s="157">
        <v>2479</v>
      </c>
      <c r="G10" s="157">
        <v>213</v>
      </c>
      <c r="H10" s="157">
        <v>387</v>
      </c>
      <c r="I10" s="157">
        <v>5889</v>
      </c>
      <c r="J10" s="157">
        <v>17364</v>
      </c>
      <c r="K10" s="157">
        <v>1368</v>
      </c>
      <c r="L10" s="157">
        <v>1611</v>
      </c>
      <c r="M10" s="241">
        <f t="shared" si="0"/>
        <v>16807</v>
      </c>
      <c r="N10" s="241">
        <f t="shared" si="0"/>
        <v>33838</v>
      </c>
      <c r="O10" s="242">
        <f t="shared" si="1"/>
        <v>9.205214420178674</v>
      </c>
      <c r="P10" s="232">
        <f>'Pri Sec_outstanding_6'!R10</f>
        <v>367596</v>
      </c>
    </row>
    <row r="11" spans="1:16" ht="15" customHeight="1">
      <c r="A11" s="223">
        <v>6</v>
      </c>
      <c r="B11" s="226" t="s">
        <v>289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241">
        <f t="shared" si="0"/>
        <v>0</v>
      </c>
      <c r="N11" s="241">
        <f t="shared" si="0"/>
        <v>0</v>
      </c>
      <c r="O11" s="242">
        <f t="shared" si="1"/>
        <v>0</v>
      </c>
      <c r="P11" s="232">
        <f>'Pri Sec_outstanding_6'!R11</f>
        <v>763</v>
      </c>
    </row>
    <row r="12" spans="1:16" ht="15" customHeight="1">
      <c r="A12" s="223">
        <v>7</v>
      </c>
      <c r="B12" s="225" t="s">
        <v>62</v>
      </c>
      <c r="C12" s="157">
        <v>3389</v>
      </c>
      <c r="D12" s="157">
        <v>9841</v>
      </c>
      <c r="E12" s="157">
        <v>195</v>
      </c>
      <c r="F12" s="157">
        <v>2262</v>
      </c>
      <c r="G12" s="157">
        <v>193</v>
      </c>
      <c r="H12" s="157">
        <v>446</v>
      </c>
      <c r="I12" s="157">
        <v>2223</v>
      </c>
      <c r="J12" s="157">
        <v>12386</v>
      </c>
      <c r="K12" s="157">
        <v>283</v>
      </c>
      <c r="L12" s="157">
        <v>111</v>
      </c>
      <c r="M12" s="241">
        <f t="shared" si="0"/>
        <v>6283</v>
      </c>
      <c r="N12" s="241">
        <f t="shared" si="0"/>
        <v>25046</v>
      </c>
      <c r="O12" s="242">
        <f t="shared" si="1"/>
        <v>6.128751247968991</v>
      </c>
      <c r="P12" s="232">
        <f>'Pri Sec_outstanding_6'!R12</f>
        <v>408664</v>
      </c>
    </row>
    <row r="13" spans="1:16" ht="15" customHeight="1">
      <c r="A13" s="223">
        <v>8</v>
      </c>
      <c r="B13" s="225" t="s">
        <v>63</v>
      </c>
      <c r="C13" s="157">
        <v>22945</v>
      </c>
      <c r="D13" s="157">
        <v>31928.99</v>
      </c>
      <c r="E13" s="157">
        <v>8765</v>
      </c>
      <c r="F13" s="157">
        <v>8285.66</v>
      </c>
      <c r="G13" s="157">
        <v>1096</v>
      </c>
      <c r="H13" s="157">
        <v>1902.95</v>
      </c>
      <c r="I13" s="157">
        <v>36323</v>
      </c>
      <c r="J13" s="157">
        <v>23371.97</v>
      </c>
      <c r="K13" s="157">
        <v>1553</v>
      </c>
      <c r="L13" s="157">
        <v>273.76</v>
      </c>
      <c r="M13" s="241">
        <f t="shared" si="0"/>
        <v>70682</v>
      </c>
      <c r="N13" s="241">
        <f t="shared" si="0"/>
        <v>65763.33</v>
      </c>
      <c r="O13" s="242">
        <f t="shared" si="1"/>
        <v>5.459712582605519</v>
      </c>
      <c r="P13" s="232">
        <f>'Pri Sec_outstanding_6'!R13</f>
        <v>1204520</v>
      </c>
    </row>
    <row r="14" spans="1:16" ht="15" customHeight="1">
      <c r="A14" s="223">
        <v>9</v>
      </c>
      <c r="B14" s="225" t="s">
        <v>50</v>
      </c>
      <c r="C14" s="157">
        <v>121</v>
      </c>
      <c r="D14" s="157">
        <v>542</v>
      </c>
      <c r="E14" s="157">
        <v>18</v>
      </c>
      <c r="F14" s="157">
        <v>40</v>
      </c>
      <c r="G14" s="157">
        <v>21</v>
      </c>
      <c r="H14" s="157">
        <v>51</v>
      </c>
      <c r="I14" s="157">
        <v>48</v>
      </c>
      <c r="J14" s="157">
        <v>12.17</v>
      </c>
      <c r="K14" s="157">
        <v>18</v>
      </c>
      <c r="L14" s="157">
        <f>35.5+6563</f>
        <v>6598.5</v>
      </c>
      <c r="M14" s="241">
        <f t="shared" si="0"/>
        <v>226</v>
      </c>
      <c r="N14" s="241">
        <f t="shared" si="0"/>
        <v>7243.67</v>
      </c>
      <c r="O14" s="242">
        <f t="shared" si="1"/>
        <v>2.599455969798429</v>
      </c>
      <c r="P14" s="232">
        <f>'Pri Sec_outstanding_6'!R14</f>
        <v>278661</v>
      </c>
    </row>
    <row r="15" spans="1:16" ht="15" customHeight="1">
      <c r="A15" s="223">
        <v>10</v>
      </c>
      <c r="B15" s="225" t="s">
        <v>51</v>
      </c>
      <c r="C15" s="157">
        <v>3284</v>
      </c>
      <c r="D15" s="157">
        <v>3869</v>
      </c>
      <c r="E15" s="157">
        <v>139</v>
      </c>
      <c r="F15" s="157">
        <v>271</v>
      </c>
      <c r="G15" s="157">
        <v>123</v>
      </c>
      <c r="H15" s="157">
        <v>171</v>
      </c>
      <c r="I15" s="157">
        <v>4345</v>
      </c>
      <c r="J15" s="157">
        <v>3456</v>
      </c>
      <c r="K15" s="157">
        <v>19</v>
      </c>
      <c r="L15" s="157">
        <v>277</v>
      </c>
      <c r="M15" s="241">
        <f t="shared" si="0"/>
        <v>7910</v>
      </c>
      <c r="N15" s="241">
        <f t="shared" si="0"/>
        <v>8044</v>
      </c>
      <c r="O15" s="242">
        <f t="shared" si="1"/>
        <v>4.471348130360587</v>
      </c>
      <c r="P15" s="232">
        <f>'Pri Sec_outstanding_6'!R15</f>
        <v>179901</v>
      </c>
    </row>
    <row r="16" spans="1:16" ht="15" customHeight="1">
      <c r="A16" s="223">
        <v>11</v>
      </c>
      <c r="B16" s="225" t="s">
        <v>290</v>
      </c>
      <c r="C16" s="157">
        <v>326</v>
      </c>
      <c r="D16" s="157">
        <v>21396</v>
      </c>
      <c r="E16" s="157">
        <v>50</v>
      </c>
      <c r="F16" s="157">
        <v>491</v>
      </c>
      <c r="G16" s="157">
        <v>9</v>
      </c>
      <c r="H16" s="157">
        <v>22</v>
      </c>
      <c r="I16" s="157">
        <v>317</v>
      </c>
      <c r="J16" s="157">
        <v>3758</v>
      </c>
      <c r="K16" s="157">
        <v>0</v>
      </c>
      <c r="L16" s="157">
        <v>0</v>
      </c>
      <c r="M16" s="241">
        <f t="shared" si="0"/>
        <v>702</v>
      </c>
      <c r="N16" s="241">
        <f t="shared" si="0"/>
        <v>25667</v>
      </c>
      <c r="O16" s="242">
        <f t="shared" si="1"/>
        <v>6.408307055454439</v>
      </c>
      <c r="P16" s="232">
        <f>'Pri Sec_outstanding_6'!R16</f>
        <v>400527</v>
      </c>
    </row>
    <row r="17" spans="1:16" ht="15" customHeight="1">
      <c r="A17" s="223">
        <v>12</v>
      </c>
      <c r="B17" s="225" t="s">
        <v>64</v>
      </c>
      <c r="C17" s="157">
        <v>166</v>
      </c>
      <c r="D17" s="157">
        <v>228</v>
      </c>
      <c r="E17" s="157">
        <v>8</v>
      </c>
      <c r="F17" s="157">
        <v>19.45</v>
      </c>
      <c r="G17" s="157">
        <v>13</v>
      </c>
      <c r="H17" s="157">
        <v>18.84</v>
      </c>
      <c r="I17" s="157">
        <v>174</v>
      </c>
      <c r="J17" s="157">
        <v>2814</v>
      </c>
      <c r="K17" s="157">
        <v>29</v>
      </c>
      <c r="L17" s="157">
        <v>764</v>
      </c>
      <c r="M17" s="241">
        <f t="shared" si="0"/>
        <v>390</v>
      </c>
      <c r="N17" s="241">
        <f t="shared" si="0"/>
        <v>3844.29</v>
      </c>
      <c r="O17" s="242">
        <f t="shared" si="1"/>
        <v>5.516674987454242</v>
      </c>
      <c r="P17" s="232">
        <f>'Pri Sec_outstanding_6'!R17</f>
        <v>69684.91</v>
      </c>
    </row>
    <row r="18" spans="1:16" ht="15" customHeight="1">
      <c r="A18" s="223">
        <v>13</v>
      </c>
      <c r="B18" s="225" t="s">
        <v>65</v>
      </c>
      <c r="C18" s="157">
        <v>59</v>
      </c>
      <c r="D18" s="157">
        <v>130.35</v>
      </c>
      <c r="E18" s="157">
        <v>57</v>
      </c>
      <c r="F18" s="157">
        <v>117.84</v>
      </c>
      <c r="G18" s="157">
        <v>8</v>
      </c>
      <c r="H18" s="157">
        <v>18.43</v>
      </c>
      <c r="I18" s="157">
        <v>7</v>
      </c>
      <c r="J18" s="157">
        <v>139.87</v>
      </c>
      <c r="K18" s="157">
        <v>0</v>
      </c>
      <c r="L18" s="157">
        <v>0</v>
      </c>
      <c r="M18" s="241">
        <f t="shared" si="0"/>
        <v>131</v>
      </c>
      <c r="N18" s="241">
        <f t="shared" si="0"/>
        <v>406.49</v>
      </c>
      <c r="O18" s="242">
        <f t="shared" si="1"/>
        <v>0.42800134773727544</v>
      </c>
      <c r="P18" s="232">
        <f>'Pri Sec_outstanding_6'!R18</f>
        <v>94974</v>
      </c>
    </row>
    <row r="19" spans="1:16" ht="15" customHeight="1">
      <c r="A19" s="223">
        <v>14</v>
      </c>
      <c r="B19" s="153" t="s">
        <v>291</v>
      </c>
      <c r="C19" s="157">
        <v>3361</v>
      </c>
      <c r="D19" s="157">
        <v>7196.03</v>
      </c>
      <c r="E19" s="157">
        <v>386</v>
      </c>
      <c r="F19" s="157">
        <v>329.9</v>
      </c>
      <c r="G19" s="157">
        <v>278</v>
      </c>
      <c r="H19" s="157">
        <v>399.22</v>
      </c>
      <c r="I19" s="157">
        <v>1670</v>
      </c>
      <c r="J19" s="157">
        <v>1393.25</v>
      </c>
      <c r="K19" s="157">
        <v>7</v>
      </c>
      <c r="L19" s="157">
        <v>3.62</v>
      </c>
      <c r="M19" s="241">
        <f t="shared" si="0"/>
        <v>5702</v>
      </c>
      <c r="N19" s="241">
        <f t="shared" si="0"/>
        <v>9322.02</v>
      </c>
      <c r="O19" s="242">
        <f t="shared" si="1"/>
        <v>4.376555758477739</v>
      </c>
      <c r="P19" s="232">
        <f>'Pri Sec_outstanding_6'!R19</f>
        <v>212999</v>
      </c>
    </row>
    <row r="20" spans="1:16" ht="15" customHeight="1">
      <c r="A20" s="223">
        <v>15</v>
      </c>
      <c r="B20" s="225" t="s">
        <v>292</v>
      </c>
      <c r="C20" s="157">
        <v>2025</v>
      </c>
      <c r="D20" s="157">
        <v>1442</v>
      </c>
      <c r="E20" s="157">
        <v>776</v>
      </c>
      <c r="F20" s="157">
        <v>517</v>
      </c>
      <c r="G20" s="157">
        <v>155</v>
      </c>
      <c r="H20" s="157">
        <v>103</v>
      </c>
      <c r="I20" s="157">
        <v>1252</v>
      </c>
      <c r="J20" s="157">
        <v>979</v>
      </c>
      <c r="K20" s="157">
        <v>417</v>
      </c>
      <c r="L20" s="157">
        <v>317</v>
      </c>
      <c r="M20" s="241">
        <f t="shared" si="0"/>
        <v>4625</v>
      </c>
      <c r="N20" s="241">
        <f t="shared" si="0"/>
        <v>3358</v>
      </c>
      <c r="O20" s="242">
        <f t="shared" si="1"/>
        <v>5.282615193417969</v>
      </c>
      <c r="P20" s="232">
        <f>'Pri Sec_outstanding_6'!R20</f>
        <v>63567</v>
      </c>
    </row>
    <row r="21" spans="1:16" ht="15" customHeight="1">
      <c r="A21" s="223">
        <v>16</v>
      </c>
      <c r="B21" s="225" t="s">
        <v>66</v>
      </c>
      <c r="C21" s="157">
        <v>5733</v>
      </c>
      <c r="D21" s="157">
        <v>7422</v>
      </c>
      <c r="E21" s="157">
        <v>533</v>
      </c>
      <c r="F21" s="157">
        <v>4429</v>
      </c>
      <c r="G21" s="157">
        <v>314</v>
      </c>
      <c r="H21" s="157">
        <v>356.64</v>
      </c>
      <c r="I21" s="157">
        <v>3247</v>
      </c>
      <c r="J21" s="157">
        <v>51204.83</v>
      </c>
      <c r="K21" s="157">
        <v>953</v>
      </c>
      <c r="L21" s="157">
        <v>6842</v>
      </c>
      <c r="M21" s="241">
        <f t="shared" si="0"/>
        <v>10780</v>
      </c>
      <c r="N21" s="241">
        <f t="shared" si="0"/>
        <v>70254.47</v>
      </c>
      <c r="O21" s="242">
        <f t="shared" si="1"/>
        <v>5.40439786145621</v>
      </c>
      <c r="P21" s="232">
        <f>'Pri Sec_outstanding_6'!R21</f>
        <v>1299950</v>
      </c>
    </row>
    <row r="22" spans="1:16" ht="15" customHeight="1">
      <c r="A22" s="223">
        <v>17</v>
      </c>
      <c r="B22" s="160" t="s">
        <v>67</v>
      </c>
      <c r="C22" s="157">
        <v>2773</v>
      </c>
      <c r="D22" s="157">
        <v>3097</v>
      </c>
      <c r="E22" s="157">
        <v>853</v>
      </c>
      <c r="F22" s="157">
        <f>13322-5630</f>
        <v>7692</v>
      </c>
      <c r="G22" s="157">
        <v>168</v>
      </c>
      <c r="H22" s="157">
        <v>283</v>
      </c>
      <c r="I22" s="157">
        <v>4152</v>
      </c>
      <c r="J22" s="157">
        <v>5413</v>
      </c>
      <c r="K22" s="157">
        <v>185</v>
      </c>
      <c r="L22" s="157">
        <v>922</v>
      </c>
      <c r="M22" s="241">
        <f t="shared" si="0"/>
        <v>8131</v>
      </c>
      <c r="N22" s="241">
        <f t="shared" si="0"/>
        <v>17407</v>
      </c>
      <c r="O22" s="242">
        <f t="shared" si="1"/>
        <v>12.46901906849472</v>
      </c>
      <c r="P22" s="232">
        <f>'Pri Sec_outstanding_6'!R22</f>
        <v>139602</v>
      </c>
    </row>
    <row r="23" spans="1:16" ht="15" customHeight="1">
      <c r="A23" s="223">
        <v>18</v>
      </c>
      <c r="B23" s="153" t="s">
        <v>253</v>
      </c>
      <c r="C23" s="157">
        <v>8400</v>
      </c>
      <c r="D23" s="157">
        <v>17514</v>
      </c>
      <c r="E23" s="157">
        <v>196</v>
      </c>
      <c r="F23" s="157">
        <v>609</v>
      </c>
      <c r="G23" s="157">
        <v>354</v>
      </c>
      <c r="H23" s="157">
        <v>612</v>
      </c>
      <c r="I23" s="157">
        <v>225</v>
      </c>
      <c r="J23" s="157">
        <v>6885</v>
      </c>
      <c r="K23" s="157">
        <v>4347</v>
      </c>
      <c r="L23" s="157">
        <v>4822</v>
      </c>
      <c r="M23" s="241">
        <f t="shared" si="0"/>
        <v>13522</v>
      </c>
      <c r="N23" s="241">
        <f t="shared" si="0"/>
        <v>30442</v>
      </c>
      <c r="O23" s="242">
        <f t="shared" si="1"/>
        <v>6.8915868851122974</v>
      </c>
      <c r="P23" s="232">
        <f>'Pri Sec_outstanding_6'!R23</f>
        <v>441727</v>
      </c>
    </row>
    <row r="24" spans="1:16" ht="15" customHeight="1">
      <c r="A24" s="223">
        <v>19</v>
      </c>
      <c r="B24" s="243" t="s">
        <v>68</v>
      </c>
      <c r="C24" s="157">
        <v>21550</v>
      </c>
      <c r="D24" s="157">
        <v>25784.86</v>
      </c>
      <c r="E24" s="157">
        <v>2650</v>
      </c>
      <c r="F24" s="157">
        <v>2544.0079</v>
      </c>
      <c r="G24" s="157">
        <v>539</v>
      </c>
      <c r="H24" s="157">
        <v>875.55</v>
      </c>
      <c r="I24" s="157">
        <v>24648</v>
      </c>
      <c r="J24" s="157">
        <v>16138.95</v>
      </c>
      <c r="K24" s="157">
        <v>339</v>
      </c>
      <c r="L24" s="157">
        <v>86.33</v>
      </c>
      <c r="M24" s="241">
        <f t="shared" si="0"/>
        <v>49726</v>
      </c>
      <c r="N24" s="241">
        <f t="shared" si="0"/>
        <v>45429.6979</v>
      </c>
      <c r="O24" s="242">
        <f t="shared" si="1"/>
        <v>5.884833381680914</v>
      </c>
      <c r="P24" s="232">
        <f>'Pri Sec_outstanding_6'!R24</f>
        <v>771979.34</v>
      </c>
    </row>
    <row r="25" spans="1:16" ht="15" customHeight="1">
      <c r="A25" s="223">
        <v>20</v>
      </c>
      <c r="B25" s="225" t="s">
        <v>69</v>
      </c>
      <c r="C25" s="157">
        <v>37</v>
      </c>
      <c r="D25" s="157">
        <v>183</v>
      </c>
      <c r="E25" s="157">
        <v>6</v>
      </c>
      <c r="F25" s="157">
        <v>73</v>
      </c>
      <c r="G25" s="157">
        <v>16</v>
      </c>
      <c r="H25" s="157">
        <v>33</v>
      </c>
      <c r="I25" s="157">
        <v>137</v>
      </c>
      <c r="J25" s="157">
        <v>737</v>
      </c>
      <c r="K25" s="157">
        <v>0</v>
      </c>
      <c r="L25" s="157">
        <v>0</v>
      </c>
      <c r="M25" s="241">
        <f t="shared" si="0"/>
        <v>196</v>
      </c>
      <c r="N25" s="241">
        <f t="shared" si="0"/>
        <v>1026</v>
      </c>
      <c r="O25" s="242">
        <f t="shared" si="1"/>
        <v>3.1225272384198672</v>
      </c>
      <c r="P25" s="232">
        <f>'Pri Sec_outstanding_6'!R25</f>
        <v>32858</v>
      </c>
    </row>
    <row r="26" spans="1:16" ht="15" customHeight="1">
      <c r="A26" s="223">
        <v>21</v>
      </c>
      <c r="B26" s="225" t="s">
        <v>52</v>
      </c>
      <c r="C26" s="157">
        <v>317</v>
      </c>
      <c r="D26" s="157">
        <v>619.58</v>
      </c>
      <c r="E26" s="157">
        <v>29</v>
      </c>
      <c r="F26" s="157">
        <v>188.14</v>
      </c>
      <c r="G26" s="157">
        <v>12</v>
      </c>
      <c r="H26" s="157">
        <v>21.75</v>
      </c>
      <c r="I26" s="157">
        <v>612</v>
      </c>
      <c r="J26" s="157">
        <v>746.53</v>
      </c>
      <c r="K26" s="157">
        <v>103</v>
      </c>
      <c r="L26" s="157">
        <v>225.73</v>
      </c>
      <c r="M26" s="241">
        <f t="shared" si="0"/>
        <v>1073</v>
      </c>
      <c r="N26" s="241">
        <f t="shared" si="0"/>
        <v>1801.73</v>
      </c>
      <c r="O26" s="242">
        <f t="shared" si="1"/>
        <v>2.501916294053934</v>
      </c>
      <c r="P26" s="232">
        <f>'Pri Sec_outstanding_6'!R26</f>
        <v>72014</v>
      </c>
    </row>
    <row r="27" spans="1:16" ht="15" customHeight="1">
      <c r="A27" s="227"/>
      <c r="B27" s="228" t="s">
        <v>293</v>
      </c>
      <c r="C27" s="244">
        <f>SUM(C6:C26)</f>
        <v>114512</v>
      </c>
      <c r="D27" s="244">
        <f aca="true" t="shared" si="2" ref="D27:K27">SUM(D6:D26)</f>
        <v>203793.11567569998</v>
      </c>
      <c r="E27" s="244">
        <f t="shared" si="2"/>
        <v>20721</v>
      </c>
      <c r="F27" s="244">
        <f t="shared" si="2"/>
        <v>35267.9579</v>
      </c>
      <c r="G27" s="244">
        <f t="shared" si="2"/>
        <v>6736</v>
      </c>
      <c r="H27" s="244">
        <f t="shared" si="2"/>
        <v>9281.82</v>
      </c>
      <c r="I27" s="244">
        <f t="shared" si="2"/>
        <v>109736</v>
      </c>
      <c r="J27" s="244">
        <f t="shared" si="2"/>
        <v>200948.2233225</v>
      </c>
      <c r="K27" s="244">
        <f t="shared" si="2"/>
        <v>12909</v>
      </c>
      <c r="L27" s="244">
        <f>SUM(L6:L26)</f>
        <v>27510.940000000002</v>
      </c>
      <c r="M27" s="244">
        <f>SUM(M6:M26)</f>
        <v>264614</v>
      </c>
      <c r="N27" s="244">
        <f>SUM(N6:N26)</f>
        <v>476802.05689820007</v>
      </c>
      <c r="O27" s="266">
        <f t="shared" si="1"/>
        <v>5.148976197488303</v>
      </c>
      <c r="P27" s="232">
        <f>'Pri Sec_outstanding_6'!R27</f>
        <v>9260133.25</v>
      </c>
    </row>
    <row r="28" spans="1:16" ht="15" customHeight="1">
      <c r="A28" s="223">
        <v>22</v>
      </c>
      <c r="B28" s="225" t="s">
        <v>294</v>
      </c>
      <c r="C28" s="157">
        <v>0</v>
      </c>
      <c r="D28" s="157">
        <v>0</v>
      </c>
      <c r="E28" s="157">
        <v>5</v>
      </c>
      <c r="F28" s="157">
        <v>30</v>
      </c>
      <c r="G28" s="157">
        <v>0</v>
      </c>
      <c r="H28" s="157">
        <v>0</v>
      </c>
      <c r="I28" s="157">
        <v>29</v>
      </c>
      <c r="J28" s="157">
        <v>89.96</v>
      </c>
      <c r="K28" s="157">
        <v>10</v>
      </c>
      <c r="L28" s="157">
        <v>25.63</v>
      </c>
      <c r="M28" s="241">
        <f t="shared" si="0"/>
        <v>44</v>
      </c>
      <c r="N28" s="241">
        <f t="shared" si="0"/>
        <v>145.59</v>
      </c>
      <c r="O28" s="242">
        <f t="shared" si="1"/>
        <v>0.41825389985348616</v>
      </c>
      <c r="P28" s="232">
        <f>'Pri Sec_outstanding_6'!R28</f>
        <v>34809</v>
      </c>
    </row>
    <row r="29" spans="1:16" ht="15" customHeight="1">
      <c r="A29" s="223">
        <v>23</v>
      </c>
      <c r="B29" s="225" t="s">
        <v>295</v>
      </c>
      <c r="C29" s="157">
        <v>0</v>
      </c>
      <c r="D29" s="157">
        <v>0</v>
      </c>
      <c r="E29" s="157">
        <v>37</v>
      </c>
      <c r="F29" s="157">
        <v>326.75</v>
      </c>
      <c r="G29" s="157">
        <v>0</v>
      </c>
      <c r="H29" s="157">
        <v>0</v>
      </c>
      <c r="I29" s="157">
        <v>4</v>
      </c>
      <c r="J29" s="157">
        <v>15.04</v>
      </c>
      <c r="K29" s="157">
        <v>0</v>
      </c>
      <c r="L29" s="157">
        <v>0</v>
      </c>
      <c r="M29" s="241">
        <f t="shared" si="0"/>
        <v>41</v>
      </c>
      <c r="N29" s="241">
        <f t="shared" si="0"/>
        <v>341.79</v>
      </c>
      <c r="O29" s="242">
        <f t="shared" si="1"/>
        <v>0.5589370400654129</v>
      </c>
      <c r="P29" s="232">
        <f>'Pri Sec_outstanding_6'!R29</f>
        <v>61150</v>
      </c>
    </row>
    <row r="30" spans="1:16" ht="15" customHeight="1">
      <c r="A30" s="223">
        <v>24</v>
      </c>
      <c r="B30" s="225" t="s">
        <v>296</v>
      </c>
      <c r="C30" s="157">
        <v>0</v>
      </c>
      <c r="D30" s="157">
        <v>0</v>
      </c>
      <c r="E30" s="157">
        <v>0</v>
      </c>
      <c r="F30" s="157">
        <v>0</v>
      </c>
      <c r="G30" s="157">
        <v>1</v>
      </c>
      <c r="H30" s="157">
        <v>1</v>
      </c>
      <c r="I30" s="157">
        <v>7</v>
      </c>
      <c r="J30" s="157">
        <v>14</v>
      </c>
      <c r="K30" s="157">
        <v>1</v>
      </c>
      <c r="L30" s="157">
        <v>8</v>
      </c>
      <c r="M30" s="241">
        <f t="shared" si="0"/>
        <v>9</v>
      </c>
      <c r="N30" s="241">
        <f t="shared" si="0"/>
        <v>23</v>
      </c>
      <c r="O30" s="242">
        <f t="shared" si="1"/>
        <v>0.023703520488086403</v>
      </c>
      <c r="P30" s="232">
        <f>'Pri Sec_outstanding_6'!R30</f>
        <v>97032</v>
      </c>
    </row>
    <row r="31" spans="1:16" ht="15" customHeight="1">
      <c r="A31" s="223">
        <v>25</v>
      </c>
      <c r="B31" s="226" t="s">
        <v>297</v>
      </c>
      <c r="C31" s="157">
        <v>0</v>
      </c>
      <c r="D31" s="157">
        <v>0</v>
      </c>
      <c r="E31" s="157"/>
      <c r="F31" s="157">
        <v>1380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241">
        <f t="shared" si="0"/>
        <v>0</v>
      </c>
      <c r="N31" s="241">
        <f t="shared" si="0"/>
        <v>1380</v>
      </c>
      <c r="O31" s="242">
        <f t="shared" si="1"/>
        <v>17.430845017051915</v>
      </c>
      <c r="P31" s="232">
        <f>'Pri Sec_outstanding_6'!R31</f>
        <v>7917</v>
      </c>
    </row>
    <row r="32" spans="1:16" ht="15" customHeight="1">
      <c r="A32" s="223">
        <v>26</v>
      </c>
      <c r="B32" s="225" t="s">
        <v>298</v>
      </c>
      <c r="C32" s="157">
        <v>141</v>
      </c>
      <c r="D32" s="157">
        <v>104.68</v>
      </c>
      <c r="E32" s="157">
        <v>22</v>
      </c>
      <c r="F32" s="157">
        <v>155.03</v>
      </c>
      <c r="G32" s="157">
        <v>12</v>
      </c>
      <c r="H32" s="157">
        <v>17.35</v>
      </c>
      <c r="I32" s="157">
        <v>188</v>
      </c>
      <c r="J32" s="157">
        <v>308.46</v>
      </c>
      <c r="K32" s="157">
        <v>95</v>
      </c>
      <c r="L32" s="157">
        <v>311.57</v>
      </c>
      <c r="M32" s="241">
        <f t="shared" si="0"/>
        <v>458</v>
      </c>
      <c r="N32" s="241">
        <f t="shared" si="0"/>
        <v>897.0899999999999</v>
      </c>
      <c r="O32" s="242">
        <f t="shared" si="1"/>
        <v>1.0971564850486148</v>
      </c>
      <c r="P32" s="232">
        <f>'Pri Sec_outstanding_6'!R32</f>
        <v>81765</v>
      </c>
    </row>
    <row r="33" spans="1:16" ht="15" customHeight="1">
      <c r="A33" s="223">
        <v>27</v>
      </c>
      <c r="B33" s="225" t="s">
        <v>72</v>
      </c>
      <c r="C33" s="157">
        <v>84249</v>
      </c>
      <c r="D33" s="157">
        <v>90838</v>
      </c>
      <c r="E33" s="157">
        <v>11294</v>
      </c>
      <c r="F33" s="157">
        <v>8181</v>
      </c>
      <c r="G33" s="157">
        <v>541</v>
      </c>
      <c r="H33" s="157">
        <v>1114</v>
      </c>
      <c r="I33" s="157">
        <v>20529</v>
      </c>
      <c r="J33" s="157">
        <v>13447</v>
      </c>
      <c r="K33" s="157">
        <v>0</v>
      </c>
      <c r="L33" s="157">
        <v>0</v>
      </c>
      <c r="M33" s="241">
        <f t="shared" si="0"/>
        <v>116613</v>
      </c>
      <c r="N33" s="241">
        <f t="shared" si="0"/>
        <v>113580</v>
      </c>
      <c r="O33" s="242">
        <f t="shared" si="1"/>
        <v>2.013694826836074</v>
      </c>
      <c r="P33" s="232">
        <f>'Pri Sec_outstanding_6'!R33</f>
        <v>5640378</v>
      </c>
    </row>
    <row r="34" spans="1:16" ht="15" customHeight="1">
      <c r="A34" s="227"/>
      <c r="B34" s="228" t="s">
        <v>299</v>
      </c>
      <c r="C34" s="244">
        <f>SUM(C28:C33)</f>
        <v>84390</v>
      </c>
      <c r="D34" s="244">
        <f aca="true" t="shared" si="3" ref="D34:K34">SUM(D28:D33)</f>
        <v>90942.68</v>
      </c>
      <c r="E34" s="244">
        <f t="shared" si="3"/>
        <v>11358</v>
      </c>
      <c r="F34" s="244">
        <f t="shared" si="3"/>
        <v>10072.78</v>
      </c>
      <c r="G34" s="244">
        <f t="shared" si="3"/>
        <v>554</v>
      </c>
      <c r="H34" s="244">
        <f t="shared" si="3"/>
        <v>1132.35</v>
      </c>
      <c r="I34" s="244">
        <f t="shared" si="3"/>
        <v>20757</v>
      </c>
      <c r="J34" s="244">
        <f t="shared" si="3"/>
        <v>13874.46</v>
      </c>
      <c r="K34" s="244">
        <f t="shared" si="3"/>
        <v>106</v>
      </c>
      <c r="L34" s="244">
        <f>SUM(L28:L33)</f>
        <v>345.2</v>
      </c>
      <c r="M34" s="244">
        <f>SUM(M28:M33)</f>
        <v>117165</v>
      </c>
      <c r="N34" s="244">
        <f>SUM(N28:N33)</f>
        <v>116367.47</v>
      </c>
      <c r="O34" s="266">
        <f t="shared" si="1"/>
        <v>1.9646541959540784</v>
      </c>
      <c r="P34" s="232">
        <f>'Pri Sec_outstanding_6'!R34</f>
        <v>5923051</v>
      </c>
    </row>
    <row r="35" spans="1:16" ht="15" customHeight="1">
      <c r="A35" s="223">
        <v>28</v>
      </c>
      <c r="B35" s="225" t="s">
        <v>49</v>
      </c>
      <c r="C35" s="157">
        <v>871</v>
      </c>
      <c r="D35" s="157">
        <v>655</v>
      </c>
      <c r="E35" s="157">
        <v>47</v>
      </c>
      <c r="F35" s="157">
        <v>462</v>
      </c>
      <c r="G35" s="157">
        <v>2</v>
      </c>
      <c r="H35" s="157">
        <v>2</v>
      </c>
      <c r="I35" s="157">
        <v>47</v>
      </c>
      <c r="J35" s="157">
        <v>1039</v>
      </c>
      <c r="K35" s="157">
        <v>0</v>
      </c>
      <c r="L35" s="157">
        <v>0</v>
      </c>
      <c r="M35" s="241">
        <f t="shared" si="0"/>
        <v>967</v>
      </c>
      <c r="N35" s="241">
        <f t="shared" si="0"/>
        <v>2158</v>
      </c>
      <c r="O35" s="242">
        <f t="shared" si="1"/>
        <v>0.37729119607253503</v>
      </c>
      <c r="P35" s="232">
        <f>'Pri Sec_outstanding_6'!R35</f>
        <v>571972</v>
      </c>
    </row>
    <row r="36" spans="1:16" ht="15" customHeight="1">
      <c r="A36" s="223">
        <v>29</v>
      </c>
      <c r="B36" s="224" t="s">
        <v>53</v>
      </c>
      <c r="C36" s="157">
        <v>0</v>
      </c>
      <c r="D36" s="157">
        <v>0</v>
      </c>
      <c r="E36" s="157">
        <v>0</v>
      </c>
      <c r="F36" s="157">
        <v>0</v>
      </c>
      <c r="G36" s="157">
        <v>0</v>
      </c>
      <c r="H36" s="157">
        <v>0</v>
      </c>
      <c r="I36" s="157">
        <v>5</v>
      </c>
      <c r="J36" s="157">
        <v>163</v>
      </c>
      <c r="K36" s="157">
        <v>0</v>
      </c>
      <c r="L36" s="157">
        <v>0</v>
      </c>
      <c r="M36" s="241">
        <f t="shared" si="0"/>
        <v>5</v>
      </c>
      <c r="N36" s="241">
        <f t="shared" si="0"/>
        <v>163</v>
      </c>
      <c r="O36" s="242">
        <f t="shared" si="1"/>
        <v>1.8739940216141642</v>
      </c>
      <c r="P36" s="232">
        <f>'Pri Sec_outstanding_6'!R36</f>
        <v>8698</v>
      </c>
    </row>
    <row r="37" spans="1:16" ht="15" customHeight="1">
      <c r="A37" s="223">
        <v>30</v>
      </c>
      <c r="B37" s="224" t="s">
        <v>300</v>
      </c>
      <c r="C37" s="157"/>
      <c r="D37" s="157">
        <v>514</v>
      </c>
      <c r="E37" s="157"/>
      <c r="F37" s="157">
        <v>39</v>
      </c>
      <c r="G37" s="157">
        <v>0</v>
      </c>
      <c r="H37" s="157">
        <v>0</v>
      </c>
      <c r="I37" s="157"/>
      <c r="J37" s="157">
        <v>75</v>
      </c>
      <c r="K37" s="157">
        <v>0</v>
      </c>
      <c r="L37" s="157">
        <v>0</v>
      </c>
      <c r="M37" s="241">
        <f t="shared" si="0"/>
        <v>0</v>
      </c>
      <c r="N37" s="241">
        <f t="shared" si="0"/>
        <v>628</v>
      </c>
      <c r="O37" s="242">
        <f t="shared" si="1"/>
        <v>1.6158913132976533</v>
      </c>
      <c r="P37" s="232">
        <f>'Pri Sec_outstanding_6'!R37</f>
        <v>38864</v>
      </c>
    </row>
    <row r="38" spans="1:16" ht="15" customHeight="1">
      <c r="A38" s="223">
        <v>31</v>
      </c>
      <c r="B38" s="225" t="s">
        <v>301</v>
      </c>
      <c r="C38" s="157">
        <v>0</v>
      </c>
      <c r="D38" s="157">
        <v>0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241">
        <f t="shared" si="0"/>
        <v>0</v>
      </c>
      <c r="N38" s="241">
        <f t="shared" si="0"/>
        <v>0</v>
      </c>
      <c r="O38" s="242">
        <f t="shared" si="1"/>
        <v>0</v>
      </c>
      <c r="P38" s="232">
        <f>'Pri Sec_outstanding_6'!R38</f>
        <v>28</v>
      </c>
    </row>
    <row r="39" spans="1:16" ht="15" customHeight="1">
      <c r="A39" s="223">
        <v>32</v>
      </c>
      <c r="B39" s="225" t="s">
        <v>302</v>
      </c>
      <c r="C39" s="157">
        <v>6</v>
      </c>
      <c r="D39" s="157">
        <f>1259-38</f>
        <v>1221</v>
      </c>
      <c r="E39" s="157">
        <v>0</v>
      </c>
      <c r="F39" s="157">
        <v>0</v>
      </c>
      <c r="G39" s="157">
        <v>0</v>
      </c>
      <c r="H39" s="157">
        <v>0</v>
      </c>
      <c r="I39" s="157">
        <v>18</v>
      </c>
      <c r="J39" s="157">
        <v>45</v>
      </c>
      <c r="K39" s="157">
        <v>0</v>
      </c>
      <c r="L39" s="157">
        <v>0</v>
      </c>
      <c r="M39" s="241">
        <f t="shared" si="0"/>
        <v>24</v>
      </c>
      <c r="N39" s="241">
        <f t="shared" si="0"/>
        <v>1266</v>
      </c>
      <c r="O39" s="242">
        <f t="shared" si="1"/>
        <v>8.29674290582607</v>
      </c>
      <c r="P39" s="232">
        <f>'Pri Sec_outstanding_6'!R39</f>
        <v>15259</v>
      </c>
    </row>
    <row r="40" spans="1:16" ht="15" customHeight="1">
      <c r="A40" s="223">
        <v>33</v>
      </c>
      <c r="B40" s="225" t="s">
        <v>303</v>
      </c>
      <c r="C40" s="157">
        <v>3999</v>
      </c>
      <c r="D40" s="157">
        <v>7710</v>
      </c>
      <c r="E40" s="157">
        <v>7</v>
      </c>
      <c r="F40" s="157">
        <v>19</v>
      </c>
      <c r="G40" s="157">
        <v>22</v>
      </c>
      <c r="H40" s="157">
        <v>47</v>
      </c>
      <c r="I40" s="157">
        <v>1250</v>
      </c>
      <c r="J40" s="157">
        <v>4735</v>
      </c>
      <c r="K40" s="157">
        <v>35</v>
      </c>
      <c r="L40" s="157">
        <v>41</v>
      </c>
      <c r="M40" s="241">
        <f t="shared" si="0"/>
        <v>5313</v>
      </c>
      <c r="N40" s="241">
        <f t="shared" si="0"/>
        <v>12552</v>
      </c>
      <c r="O40" s="242">
        <f t="shared" si="1"/>
        <v>1.119486848348418</v>
      </c>
      <c r="P40" s="232">
        <f>'Pri Sec_outstanding_6'!R40</f>
        <v>1121228</v>
      </c>
    </row>
    <row r="41" spans="1:16" ht="15" customHeight="1">
      <c r="A41" s="223">
        <v>34</v>
      </c>
      <c r="B41" s="225" t="s">
        <v>304</v>
      </c>
      <c r="C41" s="157">
        <v>4174</v>
      </c>
      <c r="D41" s="157">
        <v>6411.14</v>
      </c>
      <c r="E41" s="157">
        <v>283</v>
      </c>
      <c r="F41" s="157">
        <v>738.17</v>
      </c>
      <c r="G41" s="157">
        <v>2</v>
      </c>
      <c r="H41" s="157">
        <v>3.32</v>
      </c>
      <c r="I41" s="157">
        <v>1155</v>
      </c>
      <c r="J41" s="157">
        <v>2453.8</v>
      </c>
      <c r="K41" s="157">
        <v>111</v>
      </c>
      <c r="L41" s="157">
        <v>41.01</v>
      </c>
      <c r="M41" s="241">
        <f t="shared" si="0"/>
        <v>5725</v>
      </c>
      <c r="N41" s="241">
        <f t="shared" si="0"/>
        <v>9647.44</v>
      </c>
      <c r="O41" s="242">
        <f t="shared" si="1"/>
        <v>0.9287079768253771</v>
      </c>
      <c r="P41" s="232">
        <f>'Pri Sec_outstanding_6'!R41</f>
        <v>1038802.319</v>
      </c>
    </row>
    <row r="42" spans="1:16" ht="15" customHeight="1">
      <c r="A42" s="223">
        <v>35</v>
      </c>
      <c r="B42" s="225" t="s">
        <v>305</v>
      </c>
      <c r="C42" s="157">
        <v>0</v>
      </c>
      <c r="D42" s="157">
        <v>0</v>
      </c>
      <c r="E42" s="157"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241">
        <f t="shared" si="0"/>
        <v>0</v>
      </c>
      <c r="N42" s="241">
        <f t="shared" si="0"/>
        <v>0</v>
      </c>
      <c r="O42" s="242">
        <f t="shared" si="1"/>
        <v>0</v>
      </c>
      <c r="P42" s="232">
        <f>'Pri Sec_outstanding_6'!R42</f>
        <v>239001</v>
      </c>
    </row>
    <row r="43" spans="1:16" ht="15" customHeight="1">
      <c r="A43" s="223">
        <v>36</v>
      </c>
      <c r="B43" s="225" t="s">
        <v>255</v>
      </c>
      <c r="C43" s="157">
        <v>0</v>
      </c>
      <c r="D43" s="157">
        <v>0</v>
      </c>
      <c r="E43" s="157"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241">
        <f t="shared" si="0"/>
        <v>0</v>
      </c>
      <c r="N43" s="241">
        <f t="shared" si="0"/>
        <v>0</v>
      </c>
      <c r="O43" s="242">
        <f t="shared" si="1"/>
        <v>0</v>
      </c>
      <c r="P43" s="232">
        <f>'Pri Sec_outstanding_6'!R43</f>
        <v>41468</v>
      </c>
    </row>
    <row r="44" spans="1:16" ht="15" customHeight="1">
      <c r="A44" s="223">
        <v>37</v>
      </c>
      <c r="B44" s="225" t="s">
        <v>306</v>
      </c>
      <c r="C44" s="157">
        <v>0</v>
      </c>
      <c r="D44" s="157">
        <v>0</v>
      </c>
      <c r="E44" s="157">
        <v>4</v>
      </c>
      <c r="F44" s="157">
        <v>6</v>
      </c>
      <c r="G44" s="157">
        <v>0</v>
      </c>
      <c r="H44" s="157">
        <v>0</v>
      </c>
      <c r="I44" s="157">
        <v>2</v>
      </c>
      <c r="J44" s="157">
        <v>87</v>
      </c>
      <c r="K44" s="157">
        <v>19</v>
      </c>
      <c r="L44" s="157">
        <v>25</v>
      </c>
      <c r="M44" s="241">
        <f t="shared" si="0"/>
        <v>25</v>
      </c>
      <c r="N44" s="241">
        <f t="shared" si="0"/>
        <v>118</v>
      </c>
      <c r="O44" s="242">
        <f t="shared" si="1"/>
        <v>7.682291666666667</v>
      </c>
      <c r="P44" s="232">
        <f>'Pri Sec_outstanding_6'!R44</f>
        <v>1536</v>
      </c>
    </row>
    <row r="45" spans="1:16" ht="15" customHeight="1">
      <c r="A45" s="223">
        <v>38</v>
      </c>
      <c r="B45" s="225" t="s">
        <v>307</v>
      </c>
      <c r="C45" s="157">
        <v>0</v>
      </c>
      <c r="D45" s="157">
        <v>0</v>
      </c>
      <c r="E45" s="157">
        <v>60</v>
      </c>
      <c r="F45" s="157">
        <v>200</v>
      </c>
      <c r="G45" s="157">
        <v>0</v>
      </c>
      <c r="H45" s="157">
        <v>0</v>
      </c>
      <c r="I45" s="157">
        <v>115</v>
      </c>
      <c r="J45" s="157">
        <v>938</v>
      </c>
      <c r="K45" s="157">
        <v>24</v>
      </c>
      <c r="L45" s="157">
        <f>400</f>
        <v>400</v>
      </c>
      <c r="M45" s="241">
        <f t="shared" si="0"/>
        <v>199</v>
      </c>
      <c r="N45" s="241">
        <f t="shared" si="0"/>
        <v>1538</v>
      </c>
      <c r="O45" s="242">
        <f t="shared" si="1"/>
        <v>4.69346028258415</v>
      </c>
      <c r="P45" s="232">
        <f>'Pri Sec_outstanding_6'!R45</f>
        <v>32769</v>
      </c>
    </row>
    <row r="46" spans="1:16" ht="15" customHeight="1">
      <c r="A46" s="223">
        <v>39</v>
      </c>
      <c r="B46" s="225" t="s">
        <v>95</v>
      </c>
      <c r="C46" s="157">
        <v>0</v>
      </c>
      <c r="D46" s="157">
        <v>0</v>
      </c>
      <c r="E46" s="157">
        <v>0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241">
        <f t="shared" si="0"/>
        <v>0</v>
      </c>
      <c r="N46" s="241">
        <f t="shared" si="0"/>
        <v>0</v>
      </c>
      <c r="O46" s="242">
        <f t="shared" si="1"/>
        <v>0</v>
      </c>
      <c r="P46" s="232">
        <f>'Pri Sec_outstanding_6'!R46</f>
        <v>14046</v>
      </c>
    </row>
    <row r="47" spans="1:16" ht="15" customHeight="1">
      <c r="A47" s="223">
        <v>40</v>
      </c>
      <c r="B47" s="225" t="s">
        <v>308</v>
      </c>
      <c r="C47" s="157">
        <v>0</v>
      </c>
      <c r="D47" s="157">
        <v>0</v>
      </c>
      <c r="E47" s="157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241">
        <f t="shared" si="0"/>
        <v>0</v>
      </c>
      <c r="N47" s="241">
        <f t="shared" si="0"/>
        <v>0</v>
      </c>
      <c r="O47" s="242">
        <f t="shared" si="1"/>
        <v>0</v>
      </c>
      <c r="P47" s="232">
        <f>'Pri Sec_outstanding_6'!R47</f>
        <v>197570</v>
      </c>
    </row>
    <row r="48" spans="1:16" ht="15" customHeight="1">
      <c r="A48" s="223">
        <v>41</v>
      </c>
      <c r="B48" s="225" t="s">
        <v>309</v>
      </c>
      <c r="C48" s="157">
        <v>0</v>
      </c>
      <c r="D48" s="157">
        <v>0</v>
      </c>
      <c r="E48" s="157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3</v>
      </c>
      <c r="L48" s="157">
        <v>9</v>
      </c>
      <c r="M48" s="241">
        <f t="shared" si="0"/>
        <v>3</v>
      </c>
      <c r="N48" s="241">
        <f t="shared" si="0"/>
        <v>9</v>
      </c>
      <c r="O48" s="242">
        <f t="shared" si="1"/>
        <v>0.24057738572574178</v>
      </c>
      <c r="P48" s="232">
        <f>'Pri Sec_outstanding_6'!R48</f>
        <v>3741</v>
      </c>
    </row>
    <row r="49" spans="1:16" ht="15" customHeight="1">
      <c r="A49" s="223">
        <v>42</v>
      </c>
      <c r="B49" s="230" t="s">
        <v>310</v>
      </c>
      <c r="C49" s="157">
        <v>0</v>
      </c>
      <c r="D49" s="157">
        <v>0</v>
      </c>
      <c r="E49" s="157">
        <v>0</v>
      </c>
      <c r="F49" s="157">
        <v>0</v>
      </c>
      <c r="G49" s="157">
        <v>0</v>
      </c>
      <c r="H49" s="157">
        <v>0</v>
      </c>
      <c r="I49" s="157">
        <v>2</v>
      </c>
      <c r="J49" s="157">
        <v>84</v>
      </c>
      <c r="K49" s="157">
        <v>3</v>
      </c>
      <c r="L49" s="157">
        <v>4</v>
      </c>
      <c r="M49" s="241">
        <f t="shared" si="0"/>
        <v>5</v>
      </c>
      <c r="N49" s="241">
        <f t="shared" si="0"/>
        <v>88</v>
      </c>
      <c r="O49" s="242">
        <f t="shared" si="1"/>
        <v>1.8425460636515913</v>
      </c>
      <c r="P49" s="232">
        <f>'Pri Sec_outstanding_6'!R49</f>
        <v>4776</v>
      </c>
    </row>
    <row r="50" spans="1:16" ht="15" customHeight="1">
      <c r="A50" s="223">
        <v>43</v>
      </c>
      <c r="B50" s="225" t="s">
        <v>311</v>
      </c>
      <c r="C50" s="157">
        <v>122</v>
      </c>
      <c r="D50" s="157">
        <v>99</v>
      </c>
      <c r="E50" s="157">
        <v>4</v>
      </c>
      <c r="F50" s="157">
        <v>0</v>
      </c>
      <c r="G50" s="157">
        <v>10</v>
      </c>
      <c r="H50" s="157">
        <v>0</v>
      </c>
      <c r="I50" s="157">
        <v>772</v>
      </c>
      <c r="J50" s="157">
        <v>71</v>
      </c>
      <c r="K50" s="157">
        <v>568</v>
      </c>
      <c r="L50" s="157">
        <v>53</v>
      </c>
      <c r="M50" s="241">
        <f t="shared" si="0"/>
        <v>1476</v>
      </c>
      <c r="N50" s="241">
        <f t="shared" si="0"/>
        <v>223</v>
      </c>
      <c r="O50" s="242">
        <f t="shared" si="1"/>
        <v>0.28453651465892316</v>
      </c>
      <c r="P50" s="232">
        <f>'Pri Sec_outstanding_6'!R50</f>
        <v>78373.0693641596</v>
      </c>
    </row>
    <row r="51" spans="1:16" ht="15" customHeight="1">
      <c r="A51" s="223">
        <v>44</v>
      </c>
      <c r="B51" s="225" t="s">
        <v>78</v>
      </c>
      <c r="C51" s="157">
        <v>0</v>
      </c>
      <c r="D51" s="157">
        <v>0</v>
      </c>
      <c r="E51" s="157">
        <v>0</v>
      </c>
      <c r="F51" s="157">
        <v>0</v>
      </c>
      <c r="G51" s="157">
        <v>0</v>
      </c>
      <c r="H51" s="157">
        <v>0</v>
      </c>
      <c r="I51" s="157">
        <v>0</v>
      </c>
      <c r="J51" s="157">
        <v>0</v>
      </c>
      <c r="K51" s="157">
        <v>0</v>
      </c>
      <c r="L51" s="157">
        <v>0</v>
      </c>
      <c r="M51" s="241">
        <f t="shared" si="0"/>
        <v>0</v>
      </c>
      <c r="N51" s="241">
        <f t="shared" si="0"/>
        <v>0</v>
      </c>
      <c r="O51" s="242">
        <f t="shared" si="1"/>
        <v>0</v>
      </c>
      <c r="P51" s="232">
        <f>'Pri Sec_outstanding_6'!R51</f>
        <v>79100</v>
      </c>
    </row>
    <row r="52" spans="1:16" ht="15" customHeight="1">
      <c r="A52" s="231"/>
      <c r="B52" s="228" t="s">
        <v>274</v>
      </c>
      <c r="C52" s="244">
        <f>SUM(C35:C51)</f>
        <v>9172</v>
      </c>
      <c r="D52" s="244">
        <f aca="true" t="shared" si="4" ref="D52:L52">SUM(D35:D51)</f>
        <v>16610.14</v>
      </c>
      <c r="E52" s="244">
        <f t="shared" si="4"/>
        <v>405</v>
      </c>
      <c r="F52" s="244">
        <f t="shared" si="4"/>
        <v>1464.17</v>
      </c>
      <c r="G52" s="244">
        <f t="shared" si="4"/>
        <v>36</v>
      </c>
      <c r="H52" s="244">
        <f t="shared" si="4"/>
        <v>52.32</v>
      </c>
      <c r="I52" s="244">
        <f t="shared" si="4"/>
        <v>3366</v>
      </c>
      <c r="J52" s="244">
        <f t="shared" si="4"/>
        <v>9690.8</v>
      </c>
      <c r="K52" s="244">
        <f t="shared" si="4"/>
        <v>763</v>
      </c>
      <c r="L52" s="244">
        <f t="shared" si="4"/>
        <v>573.01</v>
      </c>
      <c r="M52" s="244">
        <f>SUM(M35:M51)</f>
        <v>13742</v>
      </c>
      <c r="N52" s="244">
        <f>SUM(N35:N51)</f>
        <v>28390.440000000002</v>
      </c>
      <c r="O52" s="266">
        <f t="shared" si="1"/>
        <v>0.8141255006688213</v>
      </c>
      <c r="P52" s="232">
        <f>'Pri Sec_outstanding_6'!R52</f>
        <v>3487231.3883641595</v>
      </c>
    </row>
    <row r="53" spans="1:16" ht="15" customHeight="1">
      <c r="A53" s="223">
        <v>45</v>
      </c>
      <c r="B53" s="225" t="s">
        <v>48</v>
      </c>
      <c r="C53" s="157">
        <v>36268</v>
      </c>
      <c r="D53" s="157">
        <v>31527</v>
      </c>
      <c r="E53" s="157">
        <v>13036</v>
      </c>
      <c r="F53" s="157">
        <v>6391</v>
      </c>
      <c r="G53" s="157">
        <v>118</v>
      </c>
      <c r="H53" s="157">
        <v>278</v>
      </c>
      <c r="I53" s="157">
        <v>18457</v>
      </c>
      <c r="J53" s="157">
        <v>4209</v>
      </c>
      <c r="K53" s="157">
        <v>18712</v>
      </c>
      <c r="L53" s="157">
        <v>4775</v>
      </c>
      <c r="M53" s="241">
        <f t="shared" si="0"/>
        <v>86591</v>
      </c>
      <c r="N53" s="241">
        <f t="shared" si="0"/>
        <v>47180</v>
      </c>
      <c r="O53" s="242">
        <f t="shared" si="1"/>
        <v>12.372972476823623</v>
      </c>
      <c r="P53" s="232">
        <f>'Pri Sec_outstanding_6'!R53</f>
        <v>381315</v>
      </c>
    </row>
    <row r="54" spans="1:16" ht="15" customHeight="1">
      <c r="A54" s="223">
        <v>46</v>
      </c>
      <c r="B54" s="225" t="s">
        <v>269</v>
      </c>
      <c r="C54" s="157">
        <v>36485</v>
      </c>
      <c r="D54" s="157">
        <v>28274</v>
      </c>
      <c r="E54" s="157">
        <v>9551</v>
      </c>
      <c r="F54" s="157">
        <v>6877</v>
      </c>
      <c r="G54" s="157">
        <v>93</v>
      </c>
      <c r="H54" s="157">
        <v>169</v>
      </c>
      <c r="I54" s="157">
        <v>16336</v>
      </c>
      <c r="J54" s="157">
        <v>7451</v>
      </c>
      <c r="K54" s="157">
        <v>4936</v>
      </c>
      <c r="L54" s="157">
        <v>2019</v>
      </c>
      <c r="M54" s="241">
        <f t="shared" si="0"/>
        <v>67401</v>
      </c>
      <c r="N54" s="241">
        <f t="shared" si="0"/>
        <v>44790</v>
      </c>
      <c r="O54" s="242">
        <f t="shared" si="1"/>
        <v>17.382294043682766</v>
      </c>
      <c r="P54" s="232">
        <f>'Pri Sec_outstanding_6'!R54</f>
        <v>257676</v>
      </c>
    </row>
    <row r="55" spans="1:16" ht="15" customHeight="1">
      <c r="A55" s="223">
        <v>47</v>
      </c>
      <c r="B55" s="225" t="s">
        <v>54</v>
      </c>
      <c r="C55" s="157">
        <v>12791</v>
      </c>
      <c r="D55" s="157">
        <v>9574</v>
      </c>
      <c r="E55" s="157">
        <v>1519</v>
      </c>
      <c r="F55" s="157">
        <v>1002</v>
      </c>
      <c r="G55" s="157">
        <v>20</v>
      </c>
      <c r="H55" s="157">
        <v>31</v>
      </c>
      <c r="I55" s="157">
        <v>3876</v>
      </c>
      <c r="J55" s="157">
        <v>1874</v>
      </c>
      <c r="K55" s="157">
        <v>0</v>
      </c>
      <c r="L55" s="157">
        <v>0</v>
      </c>
      <c r="M55" s="241">
        <f t="shared" si="0"/>
        <v>18206</v>
      </c>
      <c r="N55" s="241">
        <f t="shared" si="0"/>
        <v>12481</v>
      </c>
      <c r="O55" s="242">
        <f t="shared" si="1"/>
        <v>2.89215143596306</v>
      </c>
      <c r="P55" s="232">
        <f>'Pri Sec_outstanding_6'!R55</f>
        <v>431547.25042411</v>
      </c>
    </row>
    <row r="56" spans="1:16" ht="15" customHeight="1">
      <c r="A56" s="231"/>
      <c r="B56" s="228" t="s">
        <v>270</v>
      </c>
      <c r="C56" s="244">
        <f>SUM(C53:C55)</f>
        <v>85544</v>
      </c>
      <c r="D56" s="244">
        <f aca="true" t="shared" si="5" ref="D56:L56">SUM(D53:D55)</f>
        <v>69375</v>
      </c>
      <c r="E56" s="244">
        <f t="shared" si="5"/>
        <v>24106</v>
      </c>
      <c r="F56" s="244">
        <f t="shared" si="5"/>
        <v>14270</v>
      </c>
      <c r="G56" s="244">
        <f t="shared" si="5"/>
        <v>231</v>
      </c>
      <c r="H56" s="244">
        <f t="shared" si="5"/>
        <v>478</v>
      </c>
      <c r="I56" s="244">
        <f t="shared" si="5"/>
        <v>38669</v>
      </c>
      <c r="J56" s="244">
        <f t="shared" si="5"/>
        <v>13534</v>
      </c>
      <c r="K56" s="244">
        <f t="shared" si="5"/>
        <v>23648</v>
      </c>
      <c r="L56" s="244">
        <f t="shared" si="5"/>
        <v>6794</v>
      </c>
      <c r="M56" s="244">
        <f>SUM(M53:M55)</f>
        <v>172198</v>
      </c>
      <c r="N56" s="244">
        <f>SUM(N53:N55)</f>
        <v>104451</v>
      </c>
      <c r="O56" s="266">
        <f t="shared" si="1"/>
        <v>9.756867627907752</v>
      </c>
      <c r="P56" s="232">
        <f>'Pri Sec_outstanding_6'!R56</f>
        <v>1070538.2504241099</v>
      </c>
    </row>
    <row r="57" spans="1:16" ht="15" customHeight="1">
      <c r="A57" s="223">
        <v>48</v>
      </c>
      <c r="B57" s="225" t="s">
        <v>312</v>
      </c>
      <c r="C57" s="157">
        <v>0</v>
      </c>
      <c r="D57" s="157">
        <v>0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57">
        <v>0</v>
      </c>
      <c r="L57" s="157">
        <v>0</v>
      </c>
      <c r="M57" s="241">
        <f t="shared" si="0"/>
        <v>0</v>
      </c>
      <c r="N57" s="241">
        <f t="shared" si="0"/>
        <v>0</v>
      </c>
      <c r="O57" s="242">
        <f t="shared" si="1"/>
        <v>0</v>
      </c>
      <c r="P57" s="232">
        <f>'Pri Sec_outstanding_6'!R57</f>
        <v>1141298</v>
      </c>
    </row>
    <row r="58" spans="1:16" ht="15" customHeight="1">
      <c r="A58" s="231"/>
      <c r="B58" s="228" t="s">
        <v>275</v>
      </c>
      <c r="C58" s="244">
        <f>C57</f>
        <v>0</v>
      </c>
      <c r="D58" s="244">
        <f aca="true" t="shared" si="6" ref="D58:L58">D57</f>
        <v>0</v>
      </c>
      <c r="E58" s="244">
        <f t="shared" si="6"/>
        <v>0</v>
      </c>
      <c r="F58" s="244">
        <f t="shared" si="6"/>
        <v>0</v>
      </c>
      <c r="G58" s="244">
        <f t="shared" si="6"/>
        <v>0</v>
      </c>
      <c r="H58" s="244">
        <f t="shared" si="6"/>
        <v>0</v>
      </c>
      <c r="I58" s="244">
        <f t="shared" si="6"/>
        <v>0</v>
      </c>
      <c r="J58" s="244">
        <f t="shared" si="6"/>
        <v>0</v>
      </c>
      <c r="K58" s="244">
        <f t="shared" si="6"/>
        <v>0</v>
      </c>
      <c r="L58" s="244">
        <f t="shared" si="6"/>
        <v>0</v>
      </c>
      <c r="M58" s="267">
        <f t="shared" si="0"/>
        <v>0</v>
      </c>
      <c r="N58" s="267">
        <f t="shared" si="0"/>
        <v>0</v>
      </c>
      <c r="O58" s="266">
        <f t="shared" si="1"/>
        <v>0</v>
      </c>
      <c r="P58" s="232">
        <f>'Pri Sec_outstanding_6'!R58</f>
        <v>1141298</v>
      </c>
    </row>
    <row r="59" spans="1:16" ht="15" customHeight="1">
      <c r="A59" s="231"/>
      <c r="B59" s="228" t="s">
        <v>276</v>
      </c>
      <c r="C59" s="244">
        <f>C58+C56+C52+C34+C27</f>
        <v>293618</v>
      </c>
      <c r="D59" s="244">
        <f aca="true" t="shared" si="7" ref="D59:L59">D58+D56+D52+D34+D27</f>
        <v>380720.93567569996</v>
      </c>
      <c r="E59" s="244">
        <f t="shared" si="7"/>
        <v>56590</v>
      </c>
      <c r="F59" s="244">
        <f t="shared" si="7"/>
        <v>61074.907900000006</v>
      </c>
      <c r="G59" s="244">
        <f t="shared" si="7"/>
        <v>7557</v>
      </c>
      <c r="H59" s="244">
        <f t="shared" si="7"/>
        <v>10944.49</v>
      </c>
      <c r="I59" s="244">
        <f t="shared" si="7"/>
        <v>172528</v>
      </c>
      <c r="J59" s="244">
        <f t="shared" si="7"/>
        <v>238047.48332250002</v>
      </c>
      <c r="K59" s="244">
        <f t="shared" si="7"/>
        <v>37426</v>
      </c>
      <c r="L59" s="244">
        <f t="shared" si="7"/>
        <v>35223.15</v>
      </c>
      <c r="M59" s="244">
        <f>M58+M56+M52+M34+M27</f>
        <v>567719</v>
      </c>
      <c r="N59" s="244">
        <f>N58+N56+N52+N34+N27</f>
        <v>726010.9668982001</v>
      </c>
      <c r="O59" s="265">
        <f t="shared" si="1"/>
        <v>3.4748296940990833</v>
      </c>
      <c r="P59" s="232">
        <f>'Pri Sec_outstanding_6'!R59</f>
        <v>20893425.888788268</v>
      </c>
    </row>
  </sheetData>
  <sheetProtection/>
  <mergeCells count="12">
    <mergeCell ref="A4:A5"/>
    <mergeCell ref="B4:B5"/>
    <mergeCell ref="A1:O1"/>
    <mergeCell ref="A2:O2"/>
    <mergeCell ref="O4:O5"/>
    <mergeCell ref="C4:D4"/>
    <mergeCell ref="E4:F4"/>
    <mergeCell ref="G4:H4"/>
    <mergeCell ref="I4:J4"/>
    <mergeCell ref="M4:N4"/>
    <mergeCell ref="K4:L4"/>
    <mergeCell ref="I3:J3"/>
  </mergeCells>
  <conditionalFormatting sqref="I3">
    <cfRule type="cellIs" priority="8" dxfId="198" operator="lessThan">
      <formula>0</formula>
    </cfRule>
  </conditionalFormatting>
  <conditionalFormatting sqref="B6">
    <cfRule type="duplicateValues" priority="2" dxfId="197">
      <formula>AND(COUNTIF($B$6:$B$6,B6)&gt;1,NOT(ISBLANK(B6)))</formula>
    </cfRule>
  </conditionalFormatting>
  <conditionalFormatting sqref="B22">
    <cfRule type="duplicateValues" priority="3" dxfId="197">
      <formula>AND(COUNTIF($B$22:$B$22,B22)&gt;1,NOT(ISBLANK(B22)))</formula>
    </cfRule>
  </conditionalFormatting>
  <conditionalFormatting sqref="B33:B34 B26:B30">
    <cfRule type="duplicateValues" priority="4" dxfId="197">
      <formula>AND(COUNTIF($B$33:$B$34,B26)+COUNTIF($B$26:$B$30,B26)&gt;1,NOT(ISBLANK(B26)))</formula>
    </cfRule>
  </conditionalFormatting>
  <conditionalFormatting sqref="B52">
    <cfRule type="duplicateValues" priority="5" dxfId="197">
      <formula>AND(COUNTIF($B$52:$B$52,B52)&gt;1,NOT(ISBLANK(B52)))</formula>
    </cfRule>
  </conditionalFormatting>
  <conditionalFormatting sqref="B56">
    <cfRule type="duplicateValues" priority="6" dxfId="197">
      <formula>AND(COUNTIF($B$56:$B$56,B56)&gt;1,NOT(ISBLANK(B56)))</formula>
    </cfRule>
  </conditionalFormatting>
  <conditionalFormatting sqref="B58">
    <cfRule type="duplicateValues" priority="7" dxfId="197">
      <formula>AND(COUNTIF($B$58:$B$58,B58)&gt;1,NOT(ISBLANK(B58)))</formula>
    </cfRule>
  </conditionalFormatting>
  <conditionalFormatting sqref="O1:O65536">
    <cfRule type="cellIs" priority="1" dxfId="198" operator="greaterThan" stopIfTrue="1">
      <formula>100</formula>
    </cfRule>
  </conditionalFormatting>
  <printOptions/>
  <pageMargins left="0.45" right="0.2" top="0.25" bottom="0.25" header="0.3" footer="0.3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59"/>
  <sheetViews>
    <sheetView view="pageBreakPreview" zoomScale="60" zoomScalePageLayoutView="0" workbookViewId="0" topLeftCell="A1">
      <pane xSplit="1" ySplit="5" topLeftCell="B6" activePane="bottomRight" state="frozen"/>
      <selection pane="topLeft" activeCell="A35" sqref="A35:IV35"/>
      <selection pane="topRight" activeCell="A35" sqref="A35:IV35"/>
      <selection pane="bottomLeft" activeCell="A35" sqref="A35:IV35"/>
      <selection pane="bottomRight" activeCell="V29" sqref="V29"/>
    </sheetView>
  </sheetViews>
  <sheetFormatPr defaultColWidth="9.140625" defaultRowHeight="12.75"/>
  <cols>
    <col min="1" max="1" width="3.28125" style="6" customWidth="1"/>
    <col min="2" max="2" width="24.421875" style="6" customWidth="1"/>
    <col min="3" max="9" width="9.140625" style="6" customWidth="1"/>
    <col min="10" max="10" width="10.421875" style="6" bestFit="1" customWidth="1"/>
    <col min="11" max="11" width="9.140625" style="6" customWidth="1"/>
    <col min="12" max="12" width="10.57421875" style="6" bestFit="1" customWidth="1"/>
    <col min="13" max="14" width="0" style="6" hidden="1" customWidth="1"/>
    <col min="15" max="15" width="0" style="342" hidden="1" customWidth="1"/>
    <col min="16" max="17" width="0" style="6" hidden="1" customWidth="1"/>
    <col min="18" max="16384" width="9.140625" style="6" customWidth="1"/>
  </cols>
  <sheetData>
    <row r="1" spans="1:12" ht="15.75" customHeight="1">
      <c r="A1" s="605" t="s">
        <v>197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</row>
    <row r="2" spans="1:12" ht="12.75">
      <c r="A2" s="621" t="s">
        <v>198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</row>
    <row r="3" spans="1:10" ht="12.75">
      <c r="A3" s="186"/>
      <c r="B3" s="28" t="s">
        <v>12</v>
      </c>
      <c r="C3" s="186"/>
      <c r="D3" s="27"/>
      <c r="E3" s="27"/>
      <c r="F3" s="27"/>
      <c r="G3" s="27"/>
      <c r="H3" s="27"/>
      <c r="I3" s="622" t="s">
        <v>196</v>
      </c>
      <c r="J3" s="622"/>
    </row>
    <row r="4" spans="1:12" ht="15" customHeight="1">
      <c r="A4" s="618" t="s">
        <v>272</v>
      </c>
      <c r="B4" s="618" t="s">
        <v>3</v>
      </c>
      <c r="C4" s="618" t="s">
        <v>24</v>
      </c>
      <c r="D4" s="618"/>
      <c r="E4" s="618" t="s">
        <v>19</v>
      </c>
      <c r="F4" s="618"/>
      <c r="G4" s="618" t="s">
        <v>20</v>
      </c>
      <c r="H4" s="618"/>
      <c r="I4" s="618" t="s">
        <v>55</v>
      </c>
      <c r="J4" s="618"/>
      <c r="K4" s="618" t="s">
        <v>38</v>
      </c>
      <c r="L4" s="618"/>
    </row>
    <row r="5" spans="1:12" ht="15" customHeight="1">
      <c r="A5" s="618"/>
      <c r="B5" s="618"/>
      <c r="C5" s="341" t="s">
        <v>30</v>
      </c>
      <c r="D5" s="341" t="s">
        <v>17</v>
      </c>
      <c r="E5" s="341" t="s">
        <v>30</v>
      </c>
      <c r="F5" s="341" t="s">
        <v>17</v>
      </c>
      <c r="G5" s="341" t="s">
        <v>30</v>
      </c>
      <c r="H5" s="341" t="s">
        <v>17</v>
      </c>
      <c r="I5" s="341" t="s">
        <v>30</v>
      </c>
      <c r="J5" s="341" t="s">
        <v>17</v>
      </c>
      <c r="K5" s="341" t="s">
        <v>30</v>
      </c>
      <c r="L5" s="341" t="s">
        <v>17</v>
      </c>
    </row>
    <row r="6" spans="1:16" ht="15" customHeight="1">
      <c r="A6" s="179">
        <v>1</v>
      </c>
      <c r="B6" s="203" t="s">
        <v>57</v>
      </c>
      <c r="C6" s="247">
        <v>0</v>
      </c>
      <c r="D6" s="247">
        <v>0</v>
      </c>
      <c r="E6" s="247">
        <v>0</v>
      </c>
      <c r="F6" s="247">
        <v>0</v>
      </c>
      <c r="G6" s="247">
        <v>0</v>
      </c>
      <c r="H6" s="247">
        <v>0</v>
      </c>
      <c r="I6" s="247">
        <v>1363</v>
      </c>
      <c r="J6" s="247">
        <v>10977.9</v>
      </c>
      <c r="K6" s="247">
        <f>C6+E6+G6+I6</f>
        <v>1363</v>
      </c>
      <c r="L6" s="247">
        <f>D6+F6+H6+J6</f>
        <v>10977.9</v>
      </c>
      <c r="M6" s="6">
        <f>NPA_PS_14!N6</f>
        <v>40746.869999999995</v>
      </c>
      <c r="N6" s="6">
        <f>L6+M6</f>
        <v>51724.77</v>
      </c>
      <c r="O6" s="342">
        <f>NPA_13!D6</f>
        <v>51724.82</v>
      </c>
      <c r="P6" s="6">
        <f>N6-O6</f>
        <v>-0.05000000000291038</v>
      </c>
    </row>
    <row r="7" spans="1:16" ht="15" customHeight="1">
      <c r="A7" s="179">
        <v>2</v>
      </c>
      <c r="B7" s="203" t="s">
        <v>58</v>
      </c>
      <c r="C7" s="247">
        <v>0</v>
      </c>
      <c r="D7" s="247">
        <v>0</v>
      </c>
      <c r="E7" s="247">
        <v>0</v>
      </c>
      <c r="F7" s="247">
        <v>0</v>
      </c>
      <c r="G7" s="247">
        <v>0</v>
      </c>
      <c r="H7" s="247">
        <v>0</v>
      </c>
      <c r="I7" s="247">
        <v>34</v>
      </c>
      <c r="J7" s="247">
        <f>55.75+137</f>
        <v>192.75</v>
      </c>
      <c r="K7" s="247">
        <f aca="true" t="shared" si="0" ref="K7:L26">C7+E7+G7+I7</f>
        <v>34</v>
      </c>
      <c r="L7" s="247">
        <f t="shared" si="0"/>
        <v>192.75</v>
      </c>
      <c r="M7" s="6">
        <f>NPA_PS_14!N7</f>
        <v>1836</v>
      </c>
      <c r="N7" s="6">
        <f aca="true" t="shared" si="1" ref="N7:N59">L7+M7</f>
        <v>2028.75</v>
      </c>
      <c r="O7" s="342">
        <f>NPA_13!D7</f>
        <v>2029</v>
      </c>
      <c r="P7" s="6">
        <f aca="true" t="shared" si="2" ref="P7:P59">N7-O7</f>
        <v>-0.25</v>
      </c>
    </row>
    <row r="8" spans="1:16" ht="15" customHeight="1">
      <c r="A8" s="179">
        <v>3</v>
      </c>
      <c r="B8" s="203" t="s">
        <v>59</v>
      </c>
      <c r="C8" s="247">
        <v>933</v>
      </c>
      <c r="D8" s="247">
        <v>6458</v>
      </c>
      <c r="E8" s="247">
        <v>48</v>
      </c>
      <c r="F8" s="247">
        <v>1831.24</v>
      </c>
      <c r="G8" s="247">
        <v>11</v>
      </c>
      <c r="H8" s="247">
        <v>104</v>
      </c>
      <c r="I8" s="247">
        <v>486</v>
      </c>
      <c r="J8" s="247">
        <f>5802+4133</f>
        <v>9935</v>
      </c>
      <c r="K8" s="247">
        <f t="shared" si="0"/>
        <v>1478</v>
      </c>
      <c r="L8" s="247">
        <f t="shared" si="0"/>
        <v>18328.239999999998</v>
      </c>
      <c r="M8" s="6">
        <f>NPA_PS_14!N8</f>
        <v>32356</v>
      </c>
      <c r="N8" s="6">
        <f t="shared" si="1"/>
        <v>50684.24</v>
      </c>
      <c r="O8" s="342">
        <f>NPA_13!D8</f>
        <v>50684</v>
      </c>
      <c r="P8" s="6">
        <f t="shared" si="2"/>
        <v>0.23999999999796273</v>
      </c>
    </row>
    <row r="9" spans="1:16" ht="15" customHeight="1">
      <c r="A9" s="179">
        <v>4</v>
      </c>
      <c r="B9" s="203" t="s">
        <v>60</v>
      </c>
      <c r="C9" s="247">
        <v>3602</v>
      </c>
      <c r="D9" s="247">
        <v>9482</v>
      </c>
      <c r="E9" s="247">
        <v>854</v>
      </c>
      <c r="F9" s="247">
        <v>2286</v>
      </c>
      <c r="G9" s="247">
        <v>2012</v>
      </c>
      <c r="H9" s="247">
        <v>5078</v>
      </c>
      <c r="I9" s="247">
        <v>1459</v>
      </c>
      <c r="J9" s="247">
        <v>3985</v>
      </c>
      <c r="K9" s="247">
        <f t="shared" si="0"/>
        <v>7927</v>
      </c>
      <c r="L9" s="247">
        <f t="shared" si="0"/>
        <v>20831</v>
      </c>
      <c r="M9" s="6">
        <f>NPA_PS_14!N9</f>
        <v>52969.4889982</v>
      </c>
      <c r="N9" s="6">
        <f t="shared" si="1"/>
        <v>73800.4889982</v>
      </c>
      <c r="O9" s="342">
        <f>NPA_13!D9</f>
        <v>73800.7534969</v>
      </c>
      <c r="P9" s="6">
        <f t="shared" si="2"/>
        <v>-0.2644986999948742</v>
      </c>
    </row>
    <row r="10" spans="1:16" ht="15" customHeight="1">
      <c r="A10" s="179">
        <v>5</v>
      </c>
      <c r="B10" s="203" t="s">
        <v>61</v>
      </c>
      <c r="C10" s="247">
        <v>0</v>
      </c>
      <c r="D10" s="247">
        <v>0</v>
      </c>
      <c r="E10" s="247">
        <v>190</v>
      </c>
      <c r="F10" s="247">
        <v>3389</v>
      </c>
      <c r="G10" s="247">
        <v>20</v>
      </c>
      <c r="H10" s="247">
        <v>75</v>
      </c>
      <c r="I10" s="247">
        <v>289</v>
      </c>
      <c r="J10" s="247">
        <v>1903</v>
      </c>
      <c r="K10" s="247">
        <f t="shared" si="0"/>
        <v>499</v>
      </c>
      <c r="L10" s="247">
        <f t="shared" si="0"/>
        <v>5367</v>
      </c>
      <c r="M10" s="6">
        <f>NPA_PS_14!N10</f>
        <v>33838</v>
      </c>
      <c r="N10" s="6">
        <f t="shared" si="1"/>
        <v>39205</v>
      </c>
      <c r="O10" s="342">
        <f>NPA_13!D10</f>
        <v>39205</v>
      </c>
      <c r="P10" s="6">
        <f t="shared" si="2"/>
        <v>0</v>
      </c>
    </row>
    <row r="11" spans="1:16" ht="15" customHeight="1">
      <c r="A11" s="179">
        <v>6</v>
      </c>
      <c r="B11" s="205" t="s">
        <v>289</v>
      </c>
      <c r="C11" s="247">
        <v>0</v>
      </c>
      <c r="D11" s="247">
        <v>0</v>
      </c>
      <c r="E11" s="247">
        <v>0</v>
      </c>
      <c r="F11" s="247">
        <v>0</v>
      </c>
      <c r="G11" s="247">
        <v>0</v>
      </c>
      <c r="H11" s="247">
        <v>0</v>
      </c>
      <c r="I11" s="247">
        <v>0</v>
      </c>
      <c r="J11" s="247">
        <v>0</v>
      </c>
      <c r="K11" s="247">
        <f t="shared" si="0"/>
        <v>0</v>
      </c>
      <c r="L11" s="247">
        <f t="shared" si="0"/>
        <v>0</v>
      </c>
      <c r="M11" s="6">
        <f>NPA_PS_14!N11</f>
        <v>0</v>
      </c>
      <c r="N11" s="6">
        <f t="shared" si="1"/>
        <v>0</v>
      </c>
      <c r="O11" s="342">
        <f>NPA_13!D11</f>
        <v>0</v>
      </c>
      <c r="P11" s="6">
        <f t="shared" si="2"/>
        <v>0</v>
      </c>
    </row>
    <row r="12" spans="1:16" ht="15" customHeight="1">
      <c r="A12" s="179">
        <v>7</v>
      </c>
      <c r="B12" s="203" t="s">
        <v>62</v>
      </c>
      <c r="C12" s="247">
        <v>1</v>
      </c>
      <c r="D12" s="247">
        <v>1200</v>
      </c>
      <c r="E12" s="247">
        <v>8</v>
      </c>
      <c r="F12" s="247">
        <v>502.28</v>
      </c>
      <c r="G12" s="247">
        <v>0</v>
      </c>
      <c r="H12" s="247">
        <v>0</v>
      </c>
      <c r="I12" s="247">
        <v>2042</v>
      </c>
      <c r="J12" s="247">
        <v>2332.7200000000003</v>
      </c>
      <c r="K12" s="247">
        <f t="shared" si="0"/>
        <v>2051</v>
      </c>
      <c r="L12" s="247">
        <f t="shared" si="0"/>
        <v>4035</v>
      </c>
      <c r="M12" s="6">
        <f>NPA_PS_14!N12</f>
        <v>25046</v>
      </c>
      <c r="N12" s="6">
        <f t="shared" si="1"/>
        <v>29081</v>
      </c>
      <c r="O12" s="342">
        <f>NPA_13!D12</f>
        <v>29081</v>
      </c>
      <c r="P12" s="6">
        <f t="shared" si="2"/>
        <v>0</v>
      </c>
    </row>
    <row r="13" spans="1:16" ht="15" customHeight="1">
      <c r="A13" s="179">
        <v>8</v>
      </c>
      <c r="B13" s="203" t="s">
        <v>63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  <c r="H13" s="247">
        <v>0</v>
      </c>
      <c r="I13" s="247">
        <v>9362</v>
      </c>
      <c r="J13" s="247">
        <v>46510</v>
      </c>
      <c r="K13" s="247">
        <f t="shared" si="0"/>
        <v>9362</v>
      </c>
      <c r="L13" s="247">
        <f t="shared" si="0"/>
        <v>46510</v>
      </c>
      <c r="M13" s="6">
        <f>NPA_PS_14!N13</f>
        <v>65763.33</v>
      </c>
      <c r="N13" s="6">
        <f t="shared" si="1"/>
        <v>112273.33</v>
      </c>
      <c r="O13" s="342">
        <f>NPA_13!D13</f>
        <v>112273.75</v>
      </c>
      <c r="P13" s="6">
        <f t="shared" si="2"/>
        <v>-0.41999999999825377</v>
      </c>
    </row>
    <row r="14" spans="1:16" ht="15" customHeight="1">
      <c r="A14" s="179">
        <v>9</v>
      </c>
      <c r="B14" s="203" t="s">
        <v>50</v>
      </c>
      <c r="C14" s="247">
        <v>0</v>
      </c>
      <c r="D14" s="247">
        <v>0</v>
      </c>
      <c r="E14" s="247">
        <v>0</v>
      </c>
      <c r="F14" s="247">
        <v>0</v>
      </c>
      <c r="G14" s="247">
        <v>0</v>
      </c>
      <c r="H14" s="247">
        <v>0</v>
      </c>
      <c r="I14" s="247">
        <v>65</v>
      </c>
      <c r="J14" s="247">
        <f>5528+13</f>
        <v>5541</v>
      </c>
      <c r="K14" s="247">
        <f t="shared" si="0"/>
        <v>65</v>
      </c>
      <c r="L14" s="247">
        <f t="shared" si="0"/>
        <v>5541</v>
      </c>
      <c r="M14" s="6">
        <f>NPA_PS_14!N14</f>
        <v>7243.67</v>
      </c>
      <c r="N14" s="6">
        <f t="shared" si="1"/>
        <v>12784.67</v>
      </c>
      <c r="O14" s="342">
        <f>NPA_13!D14</f>
        <v>12785</v>
      </c>
      <c r="P14" s="6">
        <f t="shared" si="2"/>
        <v>-0.32999999999992724</v>
      </c>
    </row>
    <row r="15" spans="1:16" ht="15" customHeight="1">
      <c r="A15" s="179">
        <v>10</v>
      </c>
      <c r="B15" s="203" t="s">
        <v>51</v>
      </c>
      <c r="C15" s="247">
        <v>0</v>
      </c>
      <c r="D15" s="247">
        <v>0</v>
      </c>
      <c r="E15" s="247">
        <v>18</v>
      </c>
      <c r="F15" s="247">
        <v>183</v>
      </c>
      <c r="G15" s="247">
        <v>0</v>
      </c>
      <c r="H15" s="247">
        <v>0</v>
      </c>
      <c r="I15" s="247">
        <v>801</v>
      </c>
      <c r="J15" s="247">
        <v>4228</v>
      </c>
      <c r="K15" s="247">
        <f t="shared" si="0"/>
        <v>819</v>
      </c>
      <c r="L15" s="247">
        <f t="shared" si="0"/>
        <v>4411</v>
      </c>
      <c r="M15" s="6">
        <f>NPA_PS_14!N15</f>
        <v>8044</v>
      </c>
      <c r="N15" s="6">
        <f t="shared" si="1"/>
        <v>12455</v>
      </c>
      <c r="O15" s="342">
        <f>NPA_13!D15</f>
        <v>12455</v>
      </c>
      <c r="P15" s="6">
        <f t="shared" si="2"/>
        <v>0</v>
      </c>
    </row>
    <row r="16" spans="1:16" ht="15" customHeight="1">
      <c r="A16" s="179">
        <v>11</v>
      </c>
      <c r="B16" s="203" t="s">
        <v>290</v>
      </c>
      <c r="C16" s="247">
        <v>6</v>
      </c>
      <c r="D16" s="247">
        <v>4234</v>
      </c>
      <c r="E16" s="247">
        <v>9</v>
      </c>
      <c r="F16" s="247">
        <v>266</v>
      </c>
      <c r="G16" s="247">
        <v>0</v>
      </c>
      <c r="H16" s="247">
        <v>0</v>
      </c>
      <c r="I16" s="247">
        <v>149</v>
      </c>
      <c r="J16" s="247">
        <v>62524</v>
      </c>
      <c r="K16" s="247">
        <f t="shared" si="0"/>
        <v>164</v>
      </c>
      <c r="L16" s="247">
        <f t="shared" si="0"/>
        <v>67024</v>
      </c>
      <c r="M16" s="6">
        <f>NPA_PS_14!N16</f>
        <v>25667</v>
      </c>
      <c r="N16" s="6">
        <f t="shared" si="1"/>
        <v>92691</v>
      </c>
      <c r="O16" s="342">
        <f>NPA_13!D16</f>
        <v>92691</v>
      </c>
      <c r="P16" s="6">
        <f t="shared" si="2"/>
        <v>0</v>
      </c>
    </row>
    <row r="17" spans="1:16" ht="15" customHeight="1">
      <c r="A17" s="179">
        <v>12</v>
      </c>
      <c r="B17" s="203" t="s">
        <v>64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32</v>
      </c>
      <c r="J17" s="247">
        <v>209.99</v>
      </c>
      <c r="K17" s="247">
        <f t="shared" si="0"/>
        <v>32</v>
      </c>
      <c r="L17" s="247">
        <f t="shared" si="0"/>
        <v>209.99</v>
      </c>
      <c r="M17" s="6">
        <f>NPA_PS_14!N17</f>
        <v>3844.29</v>
      </c>
      <c r="N17" s="6">
        <f t="shared" si="1"/>
        <v>4054.2799999999997</v>
      </c>
      <c r="O17" s="342">
        <f>NPA_13!D17</f>
        <v>4053.99</v>
      </c>
      <c r="P17" s="6">
        <f t="shared" si="2"/>
        <v>0.2899999999999636</v>
      </c>
    </row>
    <row r="18" spans="1:16" ht="15" customHeight="1">
      <c r="A18" s="179">
        <v>13</v>
      </c>
      <c r="B18" s="203" t="s">
        <v>65</v>
      </c>
      <c r="C18" s="247">
        <v>1</v>
      </c>
      <c r="D18" s="247">
        <v>1323.25</v>
      </c>
      <c r="E18" s="247">
        <v>0</v>
      </c>
      <c r="F18" s="247">
        <v>0</v>
      </c>
      <c r="G18" s="247">
        <v>0</v>
      </c>
      <c r="H18" s="247">
        <v>0</v>
      </c>
      <c r="I18" s="247">
        <v>786</v>
      </c>
      <c r="J18" s="247">
        <v>16215.18</v>
      </c>
      <c r="K18" s="247">
        <f t="shared" si="0"/>
        <v>787</v>
      </c>
      <c r="L18" s="247">
        <f t="shared" si="0"/>
        <v>17538.43</v>
      </c>
      <c r="M18" s="6">
        <f>NPA_PS_14!N18</f>
        <v>406.49</v>
      </c>
      <c r="N18" s="6">
        <f t="shared" si="1"/>
        <v>17944.920000000002</v>
      </c>
      <c r="O18" s="342">
        <f>NPA_13!D18</f>
        <v>17944.43</v>
      </c>
      <c r="P18" s="6">
        <f t="shared" si="2"/>
        <v>0.4900000000016007</v>
      </c>
    </row>
    <row r="19" spans="1:16" ht="15" customHeight="1">
      <c r="A19" s="179">
        <v>14</v>
      </c>
      <c r="B19" s="134" t="s">
        <v>291</v>
      </c>
      <c r="C19" s="247">
        <v>1</v>
      </c>
      <c r="D19" s="247">
        <v>256.54</v>
      </c>
      <c r="E19" s="247">
        <v>0</v>
      </c>
      <c r="F19" s="247">
        <v>0</v>
      </c>
      <c r="G19" s="247">
        <v>0</v>
      </c>
      <c r="H19" s="247">
        <v>0</v>
      </c>
      <c r="I19" s="247">
        <v>265</v>
      </c>
      <c r="J19" s="247">
        <v>24622.38</v>
      </c>
      <c r="K19" s="247">
        <f t="shared" si="0"/>
        <v>266</v>
      </c>
      <c r="L19" s="247">
        <f t="shared" si="0"/>
        <v>24878.920000000002</v>
      </c>
      <c r="M19" s="6">
        <f>NPA_PS_14!N19</f>
        <v>9322.02</v>
      </c>
      <c r="N19" s="6">
        <f t="shared" si="1"/>
        <v>34200.94</v>
      </c>
      <c r="O19" s="342">
        <f>NPA_13!D19</f>
        <v>34201.13</v>
      </c>
      <c r="P19" s="6">
        <f t="shared" si="2"/>
        <v>-0.18999999999505235</v>
      </c>
    </row>
    <row r="20" spans="1:16" ht="15" customHeight="1">
      <c r="A20" s="179">
        <v>15</v>
      </c>
      <c r="B20" s="203" t="s">
        <v>292</v>
      </c>
      <c r="C20" s="247">
        <v>0</v>
      </c>
      <c r="D20" s="247">
        <v>0</v>
      </c>
      <c r="E20" s="247">
        <v>45</v>
      </c>
      <c r="F20" s="247">
        <v>56</v>
      </c>
      <c r="G20" s="247">
        <v>0</v>
      </c>
      <c r="H20" s="247">
        <v>0</v>
      </c>
      <c r="I20" s="247">
        <v>505</v>
      </c>
      <c r="J20" s="247">
        <v>31</v>
      </c>
      <c r="K20" s="247">
        <f t="shared" si="0"/>
        <v>550</v>
      </c>
      <c r="L20" s="247">
        <f t="shared" si="0"/>
        <v>87</v>
      </c>
      <c r="M20" s="6">
        <f>NPA_PS_14!N20</f>
        <v>3358</v>
      </c>
      <c r="N20" s="6">
        <f t="shared" si="1"/>
        <v>3445</v>
      </c>
      <c r="O20" s="342">
        <f>NPA_13!D20</f>
        <v>3445</v>
      </c>
      <c r="P20" s="6">
        <f t="shared" si="2"/>
        <v>0</v>
      </c>
    </row>
    <row r="21" spans="1:16" ht="15" customHeight="1">
      <c r="A21" s="179">
        <v>16</v>
      </c>
      <c r="B21" s="203" t="s">
        <v>66</v>
      </c>
      <c r="C21" s="247">
        <v>5</v>
      </c>
      <c r="D21" s="247">
        <v>2982</v>
      </c>
      <c r="E21" s="247">
        <v>0</v>
      </c>
      <c r="F21" s="247">
        <v>0</v>
      </c>
      <c r="G21" s="247">
        <v>11</v>
      </c>
      <c r="H21" s="247">
        <v>393</v>
      </c>
      <c r="I21" s="247">
        <v>543</v>
      </c>
      <c r="J21" s="247">
        <v>16072</v>
      </c>
      <c r="K21" s="247">
        <f t="shared" si="0"/>
        <v>559</v>
      </c>
      <c r="L21" s="247">
        <f t="shared" si="0"/>
        <v>19447</v>
      </c>
      <c r="M21" s="6">
        <f>NPA_PS_14!N21</f>
        <v>70254.47</v>
      </c>
      <c r="N21" s="6">
        <f t="shared" si="1"/>
        <v>89701.47</v>
      </c>
      <c r="O21" s="342">
        <f>NPA_13!D21</f>
        <v>89701</v>
      </c>
      <c r="P21" s="6">
        <f t="shared" si="2"/>
        <v>0.47000000000116415</v>
      </c>
    </row>
    <row r="22" spans="1:16" ht="15" customHeight="1">
      <c r="A22" s="179">
        <v>17</v>
      </c>
      <c r="B22" s="135" t="s">
        <v>67</v>
      </c>
      <c r="C22" s="247">
        <v>3</v>
      </c>
      <c r="D22" s="247">
        <v>3851</v>
      </c>
      <c r="E22" s="247">
        <v>4</v>
      </c>
      <c r="F22" s="247">
        <v>310</v>
      </c>
      <c r="G22" s="247">
        <v>0</v>
      </c>
      <c r="H22" s="247">
        <v>0</v>
      </c>
      <c r="I22" s="247">
        <v>0</v>
      </c>
      <c r="J22" s="247">
        <v>0</v>
      </c>
      <c r="K22" s="247">
        <f t="shared" si="0"/>
        <v>7</v>
      </c>
      <c r="L22" s="247">
        <f t="shared" si="0"/>
        <v>4161</v>
      </c>
      <c r="M22" s="6">
        <f>NPA_PS_14!N22</f>
        <v>17407</v>
      </c>
      <c r="N22" s="6">
        <f t="shared" si="1"/>
        <v>21568</v>
      </c>
      <c r="O22" s="342">
        <f>NPA_13!D22</f>
        <v>21568</v>
      </c>
      <c r="P22" s="6">
        <f t="shared" si="2"/>
        <v>0</v>
      </c>
    </row>
    <row r="23" spans="1:16" ht="15" customHeight="1">
      <c r="A23" s="179">
        <v>18</v>
      </c>
      <c r="B23" s="130" t="s">
        <v>253</v>
      </c>
      <c r="C23" s="247">
        <v>6</v>
      </c>
      <c r="D23" s="247">
        <v>40691</v>
      </c>
      <c r="E23" s="247">
        <v>0</v>
      </c>
      <c r="F23" s="247">
        <v>0</v>
      </c>
      <c r="G23" s="247">
        <v>0</v>
      </c>
      <c r="H23" s="247">
        <v>0</v>
      </c>
      <c r="I23" s="247">
        <v>824</v>
      </c>
      <c r="J23" s="247">
        <v>2016</v>
      </c>
      <c r="K23" s="247">
        <f t="shared" si="0"/>
        <v>830</v>
      </c>
      <c r="L23" s="247">
        <f t="shared" si="0"/>
        <v>42707</v>
      </c>
      <c r="M23" s="6">
        <f>NPA_PS_14!N23</f>
        <v>30442</v>
      </c>
      <c r="N23" s="6">
        <f t="shared" si="1"/>
        <v>73149</v>
      </c>
      <c r="O23" s="342">
        <f>NPA_13!D23</f>
        <v>73149</v>
      </c>
      <c r="P23" s="6">
        <f t="shared" si="2"/>
        <v>0</v>
      </c>
    </row>
    <row r="24" spans="1:16" ht="15" customHeight="1">
      <c r="A24" s="179">
        <v>19</v>
      </c>
      <c r="B24" s="136" t="s">
        <v>68</v>
      </c>
      <c r="C24" s="247">
        <v>0</v>
      </c>
      <c r="D24" s="247">
        <v>0</v>
      </c>
      <c r="E24" s="247">
        <v>0</v>
      </c>
      <c r="F24" s="247">
        <v>0</v>
      </c>
      <c r="G24" s="247">
        <v>0</v>
      </c>
      <c r="H24" s="247">
        <v>0</v>
      </c>
      <c r="I24" s="247">
        <v>1962</v>
      </c>
      <c r="J24" s="247">
        <v>22305</v>
      </c>
      <c r="K24" s="247">
        <f t="shared" si="0"/>
        <v>1962</v>
      </c>
      <c r="L24" s="247">
        <f t="shared" si="0"/>
        <v>22305</v>
      </c>
      <c r="M24" s="6">
        <f>NPA_PS_14!N24</f>
        <v>45429.6979</v>
      </c>
      <c r="N24" s="6">
        <f t="shared" si="1"/>
        <v>67734.6979</v>
      </c>
      <c r="O24" s="342">
        <f>NPA_13!D24</f>
        <v>67734.95</v>
      </c>
      <c r="P24" s="6">
        <f t="shared" si="2"/>
        <v>-0.25209999999788124</v>
      </c>
    </row>
    <row r="25" spans="1:16" ht="15" customHeight="1">
      <c r="A25" s="179">
        <v>20</v>
      </c>
      <c r="B25" s="203" t="s">
        <v>69</v>
      </c>
      <c r="C25" s="247">
        <v>2</v>
      </c>
      <c r="D25" s="247">
        <v>7144</v>
      </c>
      <c r="E25" s="247">
        <v>3</v>
      </c>
      <c r="F25" s="247">
        <v>89</v>
      </c>
      <c r="G25" s="247">
        <v>0</v>
      </c>
      <c r="H25" s="247">
        <v>0</v>
      </c>
      <c r="I25" s="247">
        <v>3</v>
      </c>
      <c r="J25" s="247">
        <v>16</v>
      </c>
      <c r="K25" s="247">
        <f t="shared" si="0"/>
        <v>8</v>
      </c>
      <c r="L25" s="247">
        <f t="shared" si="0"/>
        <v>7249</v>
      </c>
      <c r="M25" s="6">
        <f>NPA_PS_14!N25</f>
        <v>1026</v>
      </c>
      <c r="N25" s="6">
        <f t="shared" si="1"/>
        <v>8275</v>
      </c>
      <c r="O25" s="342">
        <f>NPA_13!D25</f>
        <v>8275</v>
      </c>
      <c r="P25" s="6">
        <f t="shared" si="2"/>
        <v>0</v>
      </c>
    </row>
    <row r="26" spans="1:16" ht="15" customHeight="1">
      <c r="A26" s="179">
        <v>21</v>
      </c>
      <c r="B26" s="203" t="s">
        <v>52</v>
      </c>
      <c r="C26" s="247">
        <v>0</v>
      </c>
      <c r="D26" s="247">
        <v>0</v>
      </c>
      <c r="E26" s="247">
        <v>0</v>
      </c>
      <c r="F26" s="247">
        <v>0</v>
      </c>
      <c r="G26" s="247">
        <v>0</v>
      </c>
      <c r="H26" s="247">
        <v>0</v>
      </c>
      <c r="I26" s="247">
        <v>70</v>
      </c>
      <c r="J26" s="247">
        <f>1071.96-210</f>
        <v>861.96</v>
      </c>
      <c r="K26" s="247">
        <f t="shared" si="0"/>
        <v>70</v>
      </c>
      <c r="L26" s="247">
        <f t="shared" si="0"/>
        <v>861.96</v>
      </c>
      <c r="M26" s="6">
        <f>NPA_PS_14!N26</f>
        <v>1801.73</v>
      </c>
      <c r="N26" s="6">
        <f t="shared" si="1"/>
        <v>2663.69</v>
      </c>
      <c r="O26" s="342">
        <f>NPA_13!D26</f>
        <v>2663.814</v>
      </c>
      <c r="P26" s="6">
        <f t="shared" si="2"/>
        <v>-0.12399999999979627</v>
      </c>
    </row>
    <row r="27" spans="1:16" ht="15" customHeight="1">
      <c r="A27" s="340"/>
      <c r="B27" s="206" t="s">
        <v>254</v>
      </c>
      <c r="C27" s="251">
        <f>SUM(C6:C26)</f>
        <v>4560</v>
      </c>
      <c r="D27" s="251">
        <f aca="true" t="shared" si="3" ref="D27:L27">SUM(D6:D26)</f>
        <v>77621.79000000001</v>
      </c>
      <c r="E27" s="251">
        <f t="shared" si="3"/>
        <v>1179</v>
      </c>
      <c r="F27" s="251">
        <f t="shared" si="3"/>
        <v>8912.52</v>
      </c>
      <c r="G27" s="251">
        <f t="shared" si="3"/>
        <v>2054</v>
      </c>
      <c r="H27" s="251">
        <f t="shared" si="3"/>
        <v>5650</v>
      </c>
      <c r="I27" s="251">
        <f t="shared" si="3"/>
        <v>21040</v>
      </c>
      <c r="J27" s="251">
        <f t="shared" si="3"/>
        <v>230478.87999999998</v>
      </c>
      <c r="K27" s="251">
        <f t="shared" si="3"/>
        <v>28833</v>
      </c>
      <c r="L27" s="251">
        <f t="shared" si="3"/>
        <v>322663.19</v>
      </c>
      <c r="M27" s="6">
        <f>NPA_PS_14!N27</f>
        <v>476802.05689820007</v>
      </c>
      <c r="N27" s="6">
        <f t="shared" si="1"/>
        <v>799465.2468982001</v>
      </c>
      <c r="O27" s="342">
        <f>NPA_13!D27</f>
        <v>799465.6374968999</v>
      </c>
      <c r="P27" s="6">
        <f t="shared" si="2"/>
        <v>-0.3905986997997388</v>
      </c>
    </row>
    <row r="28" spans="1:16" ht="15" customHeight="1">
      <c r="A28" s="179">
        <v>22</v>
      </c>
      <c r="B28" s="203" t="s">
        <v>294</v>
      </c>
      <c r="C28" s="247">
        <v>0</v>
      </c>
      <c r="D28" s="247">
        <v>0</v>
      </c>
      <c r="E28" s="247">
        <v>0</v>
      </c>
      <c r="F28" s="247">
        <v>0</v>
      </c>
      <c r="G28" s="247">
        <v>0</v>
      </c>
      <c r="H28" s="247">
        <v>0</v>
      </c>
      <c r="I28" s="247">
        <v>2</v>
      </c>
      <c r="J28" s="247">
        <f>660.47+118</f>
        <v>778.47</v>
      </c>
      <c r="K28" s="247">
        <f aca="true" t="shared" si="4" ref="K28:L57">C28+E28+G28+I28</f>
        <v>2</v>
      </c>
      <c r="L28" s="247">
        <f t="shared" si="4"/>
        <v>778.47</v>
      </c>
      <c r="M28" s="6">
        <f>NPA_PS_14!N28</f>
        <v>145.59</v>
      </c>
      <c r="N28" s="6">
        <f t="shared" si="1"/>
        <v>924.0600000000001</v>
      </c>
      <c r="O28" s="342">
        <f>NPA_13!D28</f>
        <v>924.49</v>
      </c>
      <c r="P28" s="6">
        <f t="shared" si="2"/>
        <v>-0.42999999999995</v>
      </c>
    </row>
    <row r="29" spans="1:16" ht="15" customHeight="1">
      <c r="A29" s="179">
        <v>23</v>
      </c>
      <c r="B29" s="203" t="s">
        <v>295</v>
      </c>
      <c r="C29" s="247">
        <v>0</v>
      </c>
      <c r="D29" s="247">
        <v>0</v>
      </c>
      <c r="E29" s="247">
        <v>0</v>
      </c>
      <c r="F29" s="247">
        <v>0</v>
      </c>
      <c r="G29" s="247">
        <v>0</v>
      </c>
      <c r="H29" s="247">
        <v>0</v>
      </c>
      <c r="I29" s="247">
        <v>16</v>
      </c>
      <c r="J29" s="247">
        <v>4513.61</v>
      </c>
      <c r="K29" s="247">
        <f t="shared" si="4"/>
        <v>16</v>
      </c>
      <c r="L29" s="247">
        <f t="shared" si="4"/>
        <v>4513.61</v>
      </c>
      <c r="M29" s="6">
        <f>NPA_PS_14!N29</f>
        <v>341.79</v>
      </c>
      <c r="N29" s="6">
        <f t="shared" si="1"/>
        <v>4855.4</v>
      </c>
      <c r="O29" s="342">
        <f>NPA_13!D29</f>
        <v>4855.4</v>
      </c>
      <c r="P29" s="6">
        <f t="shared" si="2"/>
        <v>0</v>
      </c>
    </row>
    <row r="30" spans="1:16" ht="15" customHeight="1">
      <c r="A30" s="179">
        <v>24</v>
      </c>
      <c r="B30" s="203" t="s">
        <v>296</v>
      </c>
      <c r="C30" s="247">
        <v>0</v>
      </c>
      <c r="D30" s="247">
        <v>0</v>
      </c>
      <c r="E30" s="247">
        <v>0</v>
      </c>
      <c r="F30" s="247">
        <v>0</v>
      </c>
      <c r="G30" s="247">
        <v>0</v>
      </c>
      <c r="H30" s="247">
        <v>0</v>
      </c>
      <c r="I30" s="247">
        <v>0</v>
      </c>
      <c r="J30" s="247">
        <v>0</v>
      </c>
      <c r="K30" s="247">
        <f t="shared" si="4"/>
        <v>0</v>
      </c>
      <c r="L30" s="247">
        <f t="shared" si="4"/>
        <v>0</v>
      </c>
      <c r="M30" s="6">
        <f>NPA_PS_14!N30</f>
        <v>23</v>
      </c>
      <c r="N30" s="6">
        <f t="shared" si="1"/>
        <v>23</v>
      </c>
      <c r="O30" s="342">
        <f>NPA_13!D30</f>
        <v>22.99</v>
      </c>
      <c r="P30" s="6">
        <f t="shared" si="2"/>
        <v>0.010000000000001563</v>
      </c>
    </row>
    <row r="31" spans="1:16" ht="15" customHeight="1">
      <c r="A31" s="179">
        <v>25</v>
      </c>
      <c r="B31" s="205" t="s">
        <v>297</v>
      </c>
      <c r="C31" s="247">
        <v>0</v>
      </c>
      <c r="D31" s="247">
        <v>0</v>
      </c>
      <c r="E31" s="247">
        <v>0</v>
      </c>
      <c r="F31" s="247">
        <v>0</v>
      </c>
      <c r="G31" s="247">
        <v>0</v>
      </c>
      <c r="H31" s="247">
        <v>0</v>
      </c>
      <c r="I31" s="247">
        <v>0</v>
      </c>
      <c r="J31" s="247">
        <v>0</v>
      </c>
      <c r="K31" s="247">
        <f t="shared" si="4"/>
        <v>0</v>
      </c>
      <c r="L31" s="247">
        <f t="shared" si="4"/>
        <v>0</v>
      </c>
      <c r="M31" s="6">
        <f>NPA_PS_14!N31</f>
        <v>1380</v>
      </c>
      <c r="N31" s="6">
        <f t="shared" si="1"/>
        <v>1380</v>
      </c>
      <c r="O31" s="342">
        <f>NPA_13!D31</f>
        <v>1380</v>
      </c>
      <c r="P31" s="6">
        <f t="shared" si="2"/>
        <v>0</v>
      </c>
    </row>
    <row r="32" spans="1:16" ht="15" customHeight="1">
      <c r="A32" s="179">
        <v>26</v>
      </c>
      <c r="B32" s="203" t="s">
        <v>298</v>
      </c>
      <c r="C32" s="247">
        <v>0</v>
      </c>
      <c r="D32" s="247">
        <v>0</v>
      </c>
      <c r="E32" s="247">
        <v>0</v>
      </c>
      <c r="F32" s="247">
        <v>227</v>
      </c>
      <c r="G32" s="247">
        <v>0</v>
      </c>
      <c r="H32" s="247">
        <v>0</v>
      </c>
      <c r="I32" s="247">
        <v>0</v>
      </c>
      <c r="J32" s="247">
        <f>6680-227</f>
        <v>6453</v>
      </c>
      <c r="K32" s="247">
        <f t="shared" si="4"/>
        <v>0</v>
      </c>
      <c r="L32" s="247">
        <f t="shared" si="4"/>
        <v>6680</v>
      </c>
      <c r="M32" s="6">
        <f>NPA_PS_14!N32</f>
        <v>897.0899999999999</v>
      </c>
      <c r="N32" s="6">
        <f t="shared" si="1"/>
        <v>7577.09</v>
      </c>
      <c r="O32" s="342">
        <f>NPA_13!D32</f>
        <v>7577.39</v>
      </c>
      <c r="P32" s="6">
        <f t="shared" si="2"/>
        <v>-0.3000000000001819</v>
      </c>
    </row>
    <row r="33" spans="1:16" ht="15" customHeight="1">
      <c r="A33" s="179">
        <v>27</v>
      </c>
      <c r="B33" s="203" t="s">
        <v>72</v>
      </c>
      <c r="C33" s="247">
        <v>417</v>
      </c>
      <c r="D33" s="247">
        <v>451</v>
      </c>
      <c r="E33" s="247">
        <v>420</v>
      </c>
      <c r="F33" s="247">
        <v>711</v>
      </c>
      <c r="G33" s="247">
        <v>8</v>
      </c>
      <c r="H33" s="247">
        <v>5</v>
      </c>
      <c r="I33" s="247">
        <v>5908</v>
      </c>
      <c r="J33" s="247">
        <v>4670</v>
      </c>
      <c r="K33" s="247">
        <f>C33+E33+G33+I33</f>
        <v>6753</v>
      </c>
      <c r="L33" s="247">
        <f>D33+F33+H33+J33</f>
        <v>5837</v>
      </c>
      <c r="M33" s="6">
        <f>NPA_PS_14!N33</f>
        <v>113580</v>
      </c>
      <c r="N33" s="6">
        <f t="shared" si="1"/>
        <v>119417</v>
      </c>
      <c r="O33" s="342">
        <f>NPA_13!D33</f>
        <v>119417</v>
      </c>
      <c r="P33" s="6">
        <f t="shared" si="2"/>
        <v>0</v>
      </c>
    </row>
    <row r="34" spans="1:16" ht="15" customHeight="1">
      <c r="A34" s="340"/>
      <c r="B34" s="206" t="s">
        <v>299</v>
      </c>
      <c r="C34" s="251">
        <f>SUM(C28:C33)</f>
        <v>417</v>
      </c>
      <c r="D34" s="251">
        <f aca="true" t="shared" si="5" ref="D34:L34">SUM(D28:D33)</f>
        <v>451</v>
      </c>
      <c r="E34" s="251">
        <f t="shared" si="5"/>
        <v>420</v>
      </c>
      <c r="F34" s="251">
        <f t="shared" si="5"/>
        <v>938</v>
      </c>
      <c r="G34" s="251">
        <f t="shared" si="5"/>
        <v>8</v>
      </c>
      <c r="H34" s="251">
        <f t="shared" si="5"/>
        <v>5</v>
      </c>
      <c r="I34" s="251">
        <f t="shared" si="5"/>
        <v>5926</v>
      </c>
      <c r="J34" s="251">
        <f t="shared" si="5"/>
        <v>16415.08</v>
      </c>
      <c r="K34" s="251">
        <f t="shared" si="5"/>
        <v>6771</v>
      </c>
      <c r="L34" s="251">
        <f t="shared" si="5"/>
        <v>17809.08</v>
      </c>
      <c r="M34" s="6">
        <f>NPA_PS_14!N34</f>
        <v>116367.47</v>
      </c>
      <c r="N34" s="6">
        <f t="shared" si="1"/>
        <v>134176.55</v>
      </c>
      <c r="O34" s="342">
        <f>NPA_13!D34</f>
        <v>134177.27</v>
      </c>
      <c r="P34" s="6">
        <f t="shared" si="2"/>
        <v>-0.7200000000011642</v>
      </c>
    </row>
    <row r="35" spans="1:16" ht="15" customHeight="1">
      <c r="A35" s="179">
        <v>28</v>
      </c>
      <c r="B35" s="203" t="s">
        <v>49</v>
      </c>
      <c r="C35" s="247">
        <v>0</v>
      </c>
      <c r="D35" s="247">
        <v>0</v>
      </c>
      <c r="E35" s="247">
        <v>0</v>
      </c>
      <c r="F35" s="247">
        <v>0</v>
      </c>
      <c r="G35" s="247">
        <v>0</v>
      </c>
      <c r="H35" s="247">
        <v>0</v>
      </c>
      <c r="I35" s="247">
        <v>528</v>
      </c>
      <c r="J35" s="247">
        <v>2304</v>
      </c>
      <c r="K35" s="247">
        <f t="shared" si="4"/>
        <v>528</v>
      </c>
      <c r="L35" s="247">
        <f t="shared" si="4"/>
        <v>2304</v>
      </c>
      <c r="M35" s="6">
        <f>NPA_PS_14!N35</f>
        <v>2158</v>
      </c>
      <c r="N35" s="6">
        <f t="shared" si="1"/>
        <v>4462</v>
      </c>
      <c r="O35" s="342">
        <f>NPA_13!D35</f>
        <v>4462.34</v>
      </c>
      <c r="P35" s="6">
        <f t="shared" si="2"/>
        <v>-0.3400000000001455</v>
      </c>
    </row>
    <row r="36" spans="1:16" ht="15" customHeight="1">
      <c r="A36" s="179">
        <v>29</v>
      </c>
      <c r="B36" s="180" t="s">
        <v>53</v>
      </c>
      <c r="C36" s="247">
        <v>0</v>
      </c>
      <c r="D36" s="247">
        <v>0</v>
      </c>
      <c r="E36" s="247">
        <v>0</v>
      </c>
      <c r="F36" s="247">
        <v>0</v>
      </c>
      <c r="G36" s="247">
        <v>0</v>
      </c>
      <c r="H36" s="247">
        <v>0</v>
      </c>
      <c r="I36" s="247">
        <v>3</v>
      </c>
      <c r="J36" s="247">
        <v>16</v>
      </c>
      <c r="K36" s="247">
        <f t="shared" si="4"/>
        <v>3</v>
      </c>
      <c r="L36" s="247">
        <f t="shared" si="4"/>
        <v>16</v>
      </c>
      <c r="M36" s="6">
        <f>NPA_PS_14!N36</f>
        <v>163</v>
      </c>
      <c r="N36" s="6">
        <f t="shared" si="1"/>
        <v>179</v>
      </c>
      <c r="O36" s="342">
        <f>NPA_13!D36</f>
        <v>178.77</v>
      </c>
      <c r="P36" s="6">
        <f t="shared" si="2"/>
        <v>0.22999999999998977</v>
      </c>
    </row>
    <row r="37" spans="1:16" ht="15" customHeight="1">
      <c r="A37" s="179">
        <v>30</v>
      </c>
      <c r="B37" s="180" t="s">
        <v>300</v>
      </c>
      <c r="C37" s="247">
        <v>0</v>
      </c>
      <c r="D37" s="247">
        <v>0</v>
      </c>
      <c r="E37" s="247">
        <v>0</v>
      </c>
      <c r="F37" s="247">
        <v>0</v>
      </c>
      <c r="G37" s="247">
        <v>0</v>
      </c>
      <c r="H37" s="247">
        <v>0</v>
      </c>
      <c r="I37" s="247">
        <v>0</v>
      </c>
      <c r="J37" s="247">
        <v>0</v>
      </c>
      <c r="K37" s="247">
        <f t="shared" si="4"/>
        <v>0</v>
      </c>
      <c r="L37" s="247">
        <f t="shared" si="4"/>
        <v>0</v>
      </c>
      <c r="M37" s="6">
        <f>NPA_PS_14!N37</f>
        <v>628</v>
      </c>
      <c r="N37" s="6">
        <f t="shared" si="1"/>
        <v>628</v>
      </c>
      <c r="O37" s="342">
        <f>NPA_13!D37</f>
        <v>628</v>
      </c>
      <c r="P37" s="6">
        <f t="shared" si="2"/>
        <v>0</v>
      </c>
    </row>
    <row r="38" spans="1:16" ht="15" customHeight="1">
      <c r="A38" s="179">
        <v>31</v>
      </c>
      <c r="B38" s="203" t="s">
        <v>301</v>
      </c>
      <c r="C38" s="247">
        <v>0</v>
      </c>
      <c r="D38" s="247">
        <v>0</v>
      </c>
      <c r="E38" s="247">
        <v>0</v>
      </c>
      <c r="F38" s="247">
        <v>0</v>
      </c>
      <c r="G38" s="247">
        <v>0</v>
      </c>
      <c r="H38" s="247">
        <v>0</v>
      </c>
      <c r="I38" s="247">
        <v>0</v>
      </c>
      <c r="J38" s="247">
        <v>0</v>
      </c>
      <c r="K38" s="247">
        <f t="shared" si="4"/>
        <v>0</v>
      </c>
      <c r="L38" s="247">
        <f t="shared" si="4"/>
        <v>0</v>
      </c>
      <c r="M38" s="6">
        <f>NPA_PS_14!N38</f>
        <v>0</v>
      </c>
      <c r="N38" s="6">
        <f t="shared" si="1"/>
        <v>0</v>
      </c>
      <c r="O38" s="342">
        <f>NPA_13!D38</f>
        <v>0</v>
      </c>
      <c r="P38" s="6">
        <f t="shared" si="2"/>
        <v>0</v>
      </c>
    </row>
    <row r="39" spans="1:16" ht="15" customHeight="1">
      <c r="A39" s="179">
        <v>32</v>
      </c>
      <c r="B39" s="203" t="s">
        <v>302</v>
      </c>
      <c r="C39" s="247">
        <v>0</v>
      </c>
      <c r="D39" s="247">
        <v>0</v>
      </c>
      <c r="E39" s="247">
        <v>0</v>
      </c>
      <c r="F39" s="247">
        <v>0</v>
      </c>
      <c r="G39" s="247">
        <v>0</v>
      </c>
      <c r="H39" s="247">
        <v>0</v>
      </c>
      <c r="I39" s="247">
        <v>0</v>
      </c>
      <c r="J39" s="247">
        <v>0</v>
      </c>
      <c r="K39" s="247">
        <f t="shared" si="4"/>
        <v>0</v>
      </c>
      <c r="L39" s="247">
        <f t="shared" si="4"/>
        <v>0</v>
      </c>
      <c r="M39" s="6">
        <f>NPA_PS_14!N39</f>
        <v>1266</v>
      </c>
      <c r="N39" s="6">
        <f t="shared" si="1"/>
        <v>1266</v>
      </c>
      <c r="O39" s="342">
        <f>NPA_13!D39</f>
        <v>1265.58</v>
      </c>
      <c r="P39" s="6">
        <f t="shared" si="2"/>
        <v>0.42000000000007276</v>
      </c>
    </row>
    <row r="40" spans="1:16" ht="15" customHeight="1">
      <c r="A40" s="179">
        <v>33</v>
      </c>
      <c r="B40" s="203" t="s">
        <v>303</v>
      </c>
      <c r="C40" s="247">
        <v>0</v>
      </c>
      <c r="D40" s="247">
        <v>0</v>
      </c>
      <c r="E40" s="247">
        <v>0</v>
      </c>
      <c r="F40" s="247">
        <v>0</v>
      </c>
      <c r="G40" s="247">
        <v>0</v>
      </c>
      <c r="H40" s="247">
        <v>0</v>
      </c>
      <c r="I40" s="247">
        <v>4276</v>
      </c>
      <c r="J40" s="247">
        <v>8949</v>
      </c>
      <c r="K40" s="247">
        <f t="shared" si="4"/>
        <v>4276</v>
      </c>
      <c r="L40" s="247">
        <f t="shared" si="4"/>
        <v>8949</v>
      </c>
      <c r="M40" s="6">
        <f>NPA_PS_14!N40</f>
        <v>12552</v>
      </c>
      <c r="N40" s="6">
        <f t="shared" si="1"/>
        <v>21501</v>
      </c>
      <c r="O40" s="342">
        <f>NPA_13!D40</f>
        <v>21500.21</v>
      </c>
      <c r="P40" s="6">
        <f t="shared" si="2"/>
        <v>0.7900000000008731</v>
      </c>
    </row>
    <row r="41" spans="1:16" ht="15" customHeight="1">
      <c r="A41" s="179">
        <v>34</v>
      </c>
      <c r="B41" s="203" t="s">
        <v>304</v>
      </c>
      <c r="C41" s="247">
        <v>4</v>
      </c>
      <c r="D41" s="247">
        <v>975.957899</v>
      </c>
      <c r="E41" s="247">
        <v>0</v>
      </c>
      <c r="F41" s="247">
        <v>0</v>
      </c>
      <c r="G41" s="247">
        <v>0</v>
      </c>
      <c r="H41" s="247">
        <v>0</v>
      </c>
      <c r="I41" s="247">
        <v>2931</v>
      </c>
      <c r="J41" s="247">
        <v>16349.102101</v>
      </c>
      <c r="K41" s="247">
        <f t="shared" si="4"/>
        <v>2935</v>
      </c>
      <c r="L41" s="247">
        <f t="shared" si="4"/>
        <v>17325.06</v>
      </c>
      <c r="M41" s="6">
        <f>NPA_PS_14!N41</f>
        <v>9647.44</v>
      </c>
      <c r="N41" s="6">
        <f t="shared" si="1"/>
        <v>26972.5</v>
      </c>
      <c r="O41" s="342">
        <f>NPA_13!D41</f>
        <v>26972.5</v>
      </c>
      <c r="P41" s="6">
        <f t="shared" si="2"/>
        <v>0</v>
      </c>
    </row>
    <row r="42" spans="1:16" ht="15" customHeight="1">
      <c r="A42" s="179">
        <v>35</v>
      </c>
      <c r="B42" s="203" t="s">
        <v>305</v>
      </c>
      <c r="C42" s="247">
        <v>0</v>
      </c>
      <c r="D42" s="247">
        <v>0</v>
      </c>
      <c r="E42" s="247">
        <v>0</v>
      </c>
      <c r="F42" s="247">
        <v>0</v>
      </c>
      <c r="G42" s="247">
        <v>0</v>
      </c>
      <c r="H42" s="247">
        <v>0</v>
      </c>
      <c r="I42" s="247">
        <v>0</v>
      </c>
      <c r="J42" s="247">
        <v>0</v>
      </c>
      <c r="K42" s="247">
        <f t="shared" si="4"/>
        <v>0</v>
      </c>
      <c r="L42" s="247">
        <f t="shared" si="4"/>
        <v>0</v>
      </c>
      <c r="M42" s="6">
        <f>NPA_PS_14!N42</f>
        <v>0</v>
      </c>
      <c r="N42" s="6">
        <f t="shared" si="1"/>
        <v>0</v>
      </c>
      <c r="O42" s="342">
        <f>NPA_13!D42</f>
        <v>0</v>
      </c>
      <c r="P42" s="6">
        <f t="shared" si="2"/>
        <v>0</v>
      </c>
    </row>
    <row r="43" spans="1:16" ht="15" customHeight="1">
      <c r="A43" s="179">
        <v>36</v>
      </c>
      <c r="B43" s="203" t="s">
        <v>255</v>
      </c>
      <c r="C43" s="247">
        <v>0</v>
      </c>
      <c r="D43" s="247">
        <v>0</v>
      </c>
      <c r="E43" s="247">
        <v>0</v>
      </c>
      <c r="F43" s="247">
        <v>0</v>
      </c>
      <c r="G43" s="247">
        <v>0</v>
      </c>
      <c r="H43" s="247">
        <v>0</v>
      </c>
      <c r="I43" s="247">
        <v>0</v>
      </c>
      <c r="J43" s="247">
        <v>0</v>
      </c>
      <c r="K43" s="247">
        <f t="shared" si="4"/>
        <v>0</v>
      </c>
      <c r="L43" s="247">
        <f t="shared" si="4"/>
        <v>0</v>
      </c>
      <c r="M43" s="6">
        <f>NPA_PS_14!N43</f>
        <v>0</v>
      </c>
      <c r="N43" s="6">
        <f t="shared" si="1"/>
        <v>0</v>
      </c>
      <c r="O43" s="342">
        <f>NPA_13!D43</f>
        <v>0</v>
      </c>
      <c r="P43" s="6">
        <f t="shared" si="2"/>
        <v>0</v>
      </c>
    </row>
    <row r="44" spans="1:16" ht="15" customHeight="1">
      <c r="A44" s="179">
        <v>37</v>
      </c>
      <c r="B44" s="203" t="s">
        <v>306</v>
      </c>
      <c r="C44" s="247">
        <v>5</v>
      </c>
      <c r="D44" s="247">
        <v>52</v>
      </c>
      <c r="E44" s="247">
        <v>0</v>
      </c>
      <c r="F44" s="247">
        <v>0</v>
      </c>
      <c r="G44" s="247"/>
      <c r="H44" s="247"/>
      <c r="I44" s="247">
        <v>16</v>
      </c>
      <c r="J44" s="247">
        <v>24</v>
      </c>
      <c r="K44" s="247">
        <f t="shared" si="4"/>
        <v>21</v>
      </c>
      <c r="L44" s="247">
        <f t="shared" si="4"/>
        <v>76</v>
      </c>
      <c r="M44" s="6">
        <f>NPA_PS_14!N44</f>
        <v>118</v>
      </c>
      <c r="N44" s="6">
        <f t="shared" si="1"/>
        <v>194</v>
      </c>
      <c r="O44" s="342">
        <f>NPA_13!D44</f>
        <v>194</v>
      </c>
      <c r="P44" s="6">
        <f t="shared" si="2"/>
        <v>0</v>
      </c>
    </row>
    <row r="45" spans="1:16" ht="15" customHeight="1">
      <c r="A45" s="179">
        <v>38</v>
      </c>
      <c r="B45" s="203" t="s">
        <v>307</v>
      </c>
      <c r="C45" s="247">
        <v>12</v>
      </c>
      <c r="D45" s="247">
        <v>85</v>
      </c>
      <c r="E45" s="247">
        <v>10</v>
      </c>
      <c r="F45" s="247">
        <v>60</v>
      </c>
      <c r="G45" s="247">
        <v>0</v>
      </c>
      <c r="H45" s="247">
        <v>0</v>
      </c>
      <c r="I45" s="247">
        <v>0</v>
      </c>
      <c r="J45" s="247">
        <v>362</v>
      </c>
      <c r="K45" s="247">
        <f t="shared" si="4"/>
        <v>22</v>
      </c>
      <c r="L45" s="247">
        <f t="shared" si="4"/>
        <v>507</v>
      </c>
      <c r="M45" s="6">
        <f>NPA_PS_14!N45</f>
        <v>1538</v>
      </c>
      <c r="N45" s="6">
        <f t="shared" si="1"/>
        <v>2045</v>
      </c>
      <c r="O45" s="342">
        <f>NPA_13!D45</f>
        <v>2045</v>
      </c>
      <c r="P45" s="6">
        <f t="shared" si="2"/>
        <v>0</v>
      </c>
    </row>
    <row r="46" spans="1:16" ht="15" customHeight="1">
      <c r="A46" s="179">
        <v>39</v>
      </c>
      <c r="B46" s="203" t="s">
        <v>95</v>
      </c>
      <c r="C46" s="247">
        <v>0</v>
      </c>
      <c r="D46" s="247">
        <v>0</v>
      </c>
      <c r="E46" s="247">
        <v>0</v>
      </c>
      <c r="F46" s="247">
        <v>0</v>
      </c>
      <c r="G46" s="247">
        <v>0</v>
      </c>
      <c r="H46" s="247">
        <v>0</v>
      </c>
      <c r="I46" s="247">
        <v>4</v>
      </c>
      <c r="J46" s="247">
        <v>74</v>
      </c>
      <c r="K46" s="247">
        <f t="shared" si="4"/>
        <v>4</v>
      </c>
      <c r="L46" s="247">
        <f t="shared" si="4"/>
        <v>74</v>
      </c>
      <c r="M46" s="6">
        <f>NPA_PS_14!N46</f>
        <v>0</v>
      </c>
      <c r="N46" s="6">
        <f t="shared" si="1"/>
        <v>74</v>
      </c>
      <c r="O46" s="342">
        <f>NPA_13!D46</f>
        <v>74</v>
      </c>
      <c r="P46" s="6">
        <f t="shared" si="2"/>
        <v>0</v>
      </c>
    </row>
    <row r="47" spans="1:16" ht="15" customHeight="1">
      <c r="A47" s="179">
        <v>40</v>
      </c>
      <c r="B47" s="203" t="s">
        <v>308</v>
      </c>
      <c r="C47" s="247">
        <v>0</v>
      </c>
      <c r="D47" s="247">
        <v>0</v>
      </c>
      <c r="E47" s="247">
        <v>0</v>
      </c>
      <c r="F47" s="247">
        <v>0</v>
      </c>
      <c r="G47" s="247">
        <v>0</v>
      </c>
      <c r="H47" s="247">
        <v>0</v>
      </c>
      <c r="I47" s="247">
        <v>0</v>
      </c>
      <c r="J47" s="247">
        <v>0</v>
      </c>
      <c r="K47" s="247">
        <f t="shared" si="4"/>
        <v>0</v>
      </c>
      <c r="L47" s="247">
        <f t="shared" si="4"/>
        <v>0</v>
      </c>
      <c r="M47" s="6">
        <f>NPA_PS_14!N47</f>
        <v>0</v>
      </c>
      <c r="N47" s="6">
        <f t="shared" si="1"/>
        <v>0</v>
      </c>
      <c r="O47" s="342">
        <f>NPA_13!D47</f>
        <v>0</v>
      </c>
      <c r="P47" s="6">
        <f t="shared" si="2"/>
        <v>0</v>
      </c>
    </row>
    <row r="48" spans="1:16" ht="15" customHeight="1">
      <c r="A48" s="179">
        <v>41</v>
      </c>
      <c r="B48" s="203" t="s">
        <v>309</v>
      </c>
      <c r="C48" s="247">
        <v>0</v>
      </c>
      <c r="D48" s="247">
        <v>0</v>
      </c>
      <c r="E48" s="247">
        <v>0</v>
      </c>
      <c r="F48" s="247">
        <v>0</v>
      </c>
      <c r="G48" s="247">
        <v>0</v>
      </c>
      <c r="H48" s="247">
        <v>0</v>
      </c>
      <c r="I48" s="247">
        <v>4</v>
      </c>
      <c r="J48" s="247">
        <v>16</v>
      </c>
      <c r="K48" s="247">
        <f t="shared" si="4"/>
        <v>4</v>
      </c>
      <c r="L48" s="247">
        <f t="shared" si="4"/>
        <v>16</v>
      </c>
      <c r="M48" s="6">
        <f>NPA_PS_14!N48</f>
        <v>9</v>
      </c>
      <c r="N48" s="6">
        <f t="shared" si="1"/>
        <v>25</v>
      </c>
      <c r="O48" s="342">
        <f>NPA_13!D48</f>
        <v>24.63</v>
      </c>
      <c r="P48" s="6">
        <f t="shared" si="2"/>
        <v>0.370000000000001</v>
      </c>
    </row>
    <row r="49" spans="1:16" ht="15" customHeight="1">
      <c r="A49" s="179">
        <v>42</v>
      </c>
      <c r="B49" s="208" t="s">
        <v>310</v>
      </c>
      <c r="C49" s="247">
        <v>0</v>
      </c>
      <c r="D49" s="247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f t="shared" si="4"/>
        <v>0</v>
      </c>
      <c r="L49" s="247">
        <f t="shared" si="4"/>
        <v>0</v>
      </c>
      <c r="M49" s="6">
        <f>NPA_PS_14!N49</f>
        <v>88</v>
      </c>
      <c r="N49" s="6">
        <f t="shared" si="1"/>
        <v>88</v>
      </c>
      <c r="O49" s="342">
        <f>NPA_13!D49</f>
        <v>88.75</v>
      </c>
      <c r="P49" s="6">
        <f t="shared" si="2"/>
        <v>-0.75</v>
      </c>
    </row>
    <row r="50" spans="1:16" ht="15" customHeight="1">
      <c r="A50" s="179">
        <v>43</v>
      </c>
      <c r="B50" s="203" t="s">
        <v>311</v>
      </c>
      <c r="C50" s="247">
        <v>0</v>
      </c>
      <c r="D50" s="247">
        <v>0</v>
      </c>
      <c r="E50" s="247">
        <v>0</v>
      </c>
      <c r="F50" s="247">
        <v>0</v>
      </c>
      <c r="G50" s="247">
        <v>0</v>
      </c>
      <c r="H50" s="247">
        <v>0</v>
      </c>
      <c r="I50" s="247">
        <v>0</v>
      </c>
      <c r="J50" s="247">
        <v>0</v>
      </c>
      <c r="K50" s="247">
        <f t="shared" si="4"/>
        <v>0</v>
      </c>
      <c r="L50" s="247">
        <f t="shared" si="4"/>
        <v>0</v>
      </c>
      <c r="M50" s="6">
        <f>NPA_PS_14!N50</f>
        <v>223</v>
      </c>
      <c r="N50" s="6">
        <f t="shared" si="1"/>
        <v>223</v>
      </c>
      <c r="O50" s="342">
        <f>NPA_13!D50</f>
        <v>223.06</v>
      </c>
      <c r="P50" s="6">
        <f t="shared" si="2"/>
        <v>-0.060000000000002274</v>
      </c>
    </row>
    <row r="51" spans="1:16" ht="15" customHeight="1">
      <c r="A51" s="179">
        <v>44</v>
      </c>
      <c r="B51" s="203" t="s">
        <v>78</v>
      </c>
      <c r="C51" s="247">
        <v>0</v>
      </c>
      <c r="D51" s="247">
        <v>0</v>
      </c>
      <c r="E51" s="247">
        <v>0</v>
      </c>
      <c r="F51" s="247">
        <v>0</v>
      </c>
      <c r="G51" s="247">
        <v>0</v>
      </c>
      <c r="H51" s="247">
        <v>0</v>
      </c>
      <c r="I51" s="247">
        <v>0</v>
      </c>
      <c r="J51" s="247">
        <v>0</v>
      </c>
      <c r="K51" s="247">
        <f t="shared" si="4"/>
        <v>0</v>
      </c>
      <c r="L51" s="247">
        <f t="shared" si="4"/>
        <v>0</v>
      </c>
      <c r="M51" s="6">
        <f>NPA_PS_14!N51</f>
        <v>0</v>
      </c>
      <c r="N51" s="6">
        <f t="shared" si="1"/>
        <v>0</v>
      </c>
      <c r="O51" s="342">
        <f>NPA_13!D51</f>
        <v>0</v>
      </c>
      <c r="P51" s="6">
        <f t="shared" si="2"/>
        <v>0</v>
      </c>
    </row>
    <row r="52" spans="1:16" ht="15" customHeight="1">
      <c r="A52" s="183"/>
      <c r="B52" s="206" t="s">
        <v>274</v>
      </c>
      <c r="C52" s="251">
        <f>SUM(C35:C51)</f>
        <v>21</v>
      </c>
      <c r="D52" s="251">
        <f aca="true" t="shared" si="6" ref="D52:L52">SUM(D35:D51)</f>
        <v>1112.957899</v>
      </c>
      <c r="E52" s="251">
        <f t="shared" si="6"/>
        <v>10</v>
      </c>
      <c r="F52" s="251">
        <f t="shared" si="6"/>
        <v>60</v>
      </c>
      <c r="G52" s="251">
        <f t="shared" si="6"/>
        <v>0</v>
      </c>
      <c r="H52" s="251">
        <f t="shared" si="6"/>
        <v>0</v>
      </c>
      <c r="I52" s="251">
        <f t="shared" si="6"/>
        <v>7762</v>
      </c>
      <c r="J52" s="251">
        <f t="shared" si="6"/>
        <v>28094.102101</v>
      </c>
      <c r="K52" s="251">
        <f t="shared" si="6"/>
        <v>7793</v>
      </c>
      <c r="L52" s="251">
        <f t="shared" si="6"/>
        <v>29267.06</v>
      </c>
      <c r="M52" s="6">
        <f>NPA_PS_14!N52</f>
        <v>28390.440000000002</v>
      </c>
      <c r="N52" s="6">
        <f t="shared" si="1"/>
        <v>57657.5</v>
      </c>
      <c r="O52" s="342">
        <f>NPA_13!D52</f>
        <v>57656.84</v>
      </c>
      <c r="P52" s="6">
        <f t="shared" si="2"/>
        <v>0.6600000000034925</v>
      </c>
    </row>
    <row r="53" spans="1:16" ht="15" customHeight="1">
      <c r="A53" s="179">
        <v>45</v>
      </c>
      <c r="B53" s="203" t="s">
        <v>48</v>
      </c>
      <c r="C53" s="247">
        <v>0</v>
      </c>
      <c r="D53" s="247">
        <v>0</v>
      </c>
      <c r="E53" s="247">
        <v>25</v>
      </c>
      <c r="F53" s="247">
        <v>67</v>
      </c>
      <c r="G53" s="247">
        <v>0</v>
      </c>
      <c r="H53" s="247">
        <v>0</v>
      </c>
      <c r="I53" s="247">
        <v>7593</v>
      </c>
      <c r="J53" s="247">
        <v>3945</v>
      </c>
      <c r="K53" s="247">
        <f t="shared" si="4"/>
        <v>7618</v>
      </c>
      <c r="L53" s="247">
        <f t="shared" si="4"/>
        <v>4012</v>
      </c>
      <c r="M53" s="6">
        <f>NPA_PS_14!N53</f>
        <v>47180</v>
      </c>
      <c r="N53" s="6">
        <f t="shared" si="1"/>
        <v>51192</v>
      </c>
      <c r="O53" s="342">
        <f>NPA_13!D53</f>
        <v>51192</v>
      </c>
      <c r="P53" s="6">
        <f t="shared" si="2"/>
        <v>0</v>
      </c>
    </row>
    <row r="54" spans="1:16" ht="15" customHeight="1">
      <c r="A54" s="179">
        <v>46</v>
      </c>
      <c r="B54" s="203" t="s">
        <v>269</v>
      </c>
      <c r="C54" s="247">
        <v>0</v>
      </c>
      <c r="D54" s="247">
        <v>0</v>
      </c>
      <c r="E54" s="247">
        <v>0</v>
      </c>
      <c r="F54" s="247">
        <v>0</v>
      </c>
      <c r="G54" s="247">
        <v>0</v>
      </c>
      <c r="H54" s="247">
        <v>0</v>
      </c>
      <c r="I54" s="247">
        <v>5569</v>
      </c>
      <c r="J54" s="247">
        <v>2091</v>
      </c>
      <c r="K54" s="247">
        <f t="shared" si="4"/>
        <v>5569</v>
      </c>
      <c r="L54" s="247">
        <f t="shared" si="4"/>
        <v>2091</v>
      </c>
      <c r="M54" s="6">
        <f>NPA_PS_14!N54</f>
        <v>44790</v>
      </c>
      <c r="N54" s="6">
        <f t="shared" si="1"/>
        <v>46881</v>
      </c>
      <c r="O54" s="342">
        <f>NPA_13!D54</f>
        <v>46881</v>
      </c>
      <c r="P54" s="6">
        <f t="shared" si="2"/>
        <v>0</v>
      </c>
    </row>
    <row r="55" spans="1:16" ht="15" customHeight="1">
      <c r="A55" s="179">
        <v>47</v>
      </c>
      <c r="B55" s="203" t="s">
        <v>54</v>
      </c>
      <c r="C55" s="247">
        <v>0</v>
      </c>
      <c r="D55" s="247">
        <v>0</v>
      </c>
      <c r="E55" s="247">
        <v>2</v>
      </c>
      <c r="F55" s="247">
        <v>8</v>
      </c>
      <c r="G55" s="247">
        <v>0</v>
      </c>
      <c r="H55" s="247">
        <v>0</v>
      </c>
      <c r="I55" s="247">
        <v>714</v>
      </c>
      <c r="J55" s="247">
        <v>426</v>
      </c>
      <c r="K55" s="247">
        <f t="shared" si="4"/>
        <v>716</v>
      </c>
      <c r="L55" s="247">
        <f t="shared" si="4"/>
        <v>434</v>
      </c>
      <c r="M55" s="6">
        <f>NPA_PS_14!N55</f>
        <v>12481</v>
      </c>
      <c r="N55" s="6">
        <f t="shared" si="1"/>
        <v>12915</v>
      </c>
      <c r="O55" s="342">
        <f>NPA_13!D55</f>
        <v>12915</v>
      </c>
      <c r="P55" s="6">
        <f t="shared" si="2"/>
        <v>0</v>
      </c>
    </row>
    <row r="56" spans="1:16" ht="15" customHeight="1">
      <c r="A56" s="183"/>
      <c r="B56" s="206" t="s">
        <v>270</v>
      </c>
      <c r="C56" s="251">
        <f>SUM(C53:C55)</f>
        <v>0</v>
      </c>
      <c r="D56" s="251">
        <f aca="true" t="shared" si="7" ref="D56:L56">SUM(D53:D55)</f>
        <v>0</v>
      </c>
      <c r="E56" s="251">
        <f t="shared" si="7"/>
        <v>27</v>
      </c>
      <c r="F56" s="251">
        <f t="shared" si="7"/>
        <v>75</v>
      </c>
      <c r="G56" s="251">
        <f t="shared" si="7"/>
        <v>0</v>
      </c>
      <c r="H56" s="251">
        <f t="shared" si="7"/>
        <v>0</v>
      </c>
      <c r="I56" s="251">
        <f t="shared" si="7"/>
        <v>13876</v>
      </c>
      <c r="J56" s="251">
        <f t="shared" si="7"/>
        <v>6462</v>
      </c>
      <c r="K56" s="251">
        <f t="shared" si="7"/>
        <v>13903</v>
      </c>
      <c r="L56" s="251">
        <f t="shared" si="7"/>
        <v>6537</v>
      </c>
      <c r="M56" s="6">
        <f>NPA_PS_14!N56</f>
        <v>104451</v>
      </c>
      <c r="N56" s="6">
        <f t="shared" si="1"/>
        <v>110988</v>
      </c>
      <c r="O56" s="342">
        <f>NPA_13!D56</f>
        <v>110988</v>
      </c>
      <c r="P56" s="6">
        <f t="shared" si="2"/>
        <v>0</v>
      </c>
    </row>
    <row r="57" spans="1:16" ht="15" customHeight="1">
      <c r="A57" s="179">
        <v>48</v>
      </c>
      <c r="B57" s="203" t="s">
        <v>312</v>
      </c>
      <c r="C57" s="247">
        <v>0</v>
      </c>
      <c r="D57" s="247">
        <v>0</v>
      </c>
      <c r="E57" s="247">
        <v>0</v>
      </c>
      <c r="F57" s="247">
        <v>0</v>
      </c>
      <c r="G57" s="247">
        <v>0</v>
      </c>
      <c r="H57" s="247">
        <v>0</v>
      </c>
      <c r="I57" s="247">
        <v>0</v>
      </c>
      <c r="J57" s="247">
        <v>0</v>
      </c>
      <c r="K57" s="247">
        <f t="shared" si="4"/>
        <v>0</v>
      </c>
      <c r="L57" s="247">
        <f t="shared" si="4"/>
        <v>0</v>
      </c>
      <c r="M57" s="6">
        <f>NPA_PS_14!N57</f>
        <v>0</v>
      </c>
      <c r="N57" s="6">
        <f t="shared" si="1"/>
        <v>0</v>
      </c>
      <c r="O57" s="342">
        <f>NPA_13!D57</f>
        <v>0</v>
      </c>
      <c r="P57" s="6">
        <f t="shared" si="2"/>
        <v>0</v>
      </c>
    </row>
    <row r="58" spans="1:16" ht="15" customHeight="1">
      <c r="A58" s="183"/>
      <c r="B58" s="206" t="s">
        <v>275</v>
      </c>
      <c r="C58" s="251">
        <f>C57</f>
        <v>0</v>
      </c>
      <c r="D58" s="251">
        <f aca="true" t="shared" si="8" ref="D58:L58">D57</f>
        <v>0</v>
      </c>
      <c r="E58" s="251">
        <f t="shared" si="8"/>
        <v>0</v>
      </c>
      <c r="F58" s="251">
        <f t="shared" si="8"/>
        <v>0</v>
      </c>
      <c r="G58" s="251">
        <f t="shared" si="8"/>
        <v>0</v>
      </c>
      <c r="H58" s="251">
        <f t="shared" si="8"/>
        <v>0</v>
      </c>
      <c r="I58" s="251">
        <f t="shared" si="8"/>
        <v>0</v>
      </c>
      <c r="J58" s="251">
        <f t="shared" si="8"/>
        <v>0</v>
      </c>
      <c r="K58" s="251">
        <f t="shared" si="8"/>
        <v>0</v>
      </c>
      <c r="L58" s="251">
        <f t="shared" si="8"/>
        <v>0</v>
      </c>
      <c r="M58" s="6">
        <f>NPA_PS_14!N58</f>
        <v>0</v>
      </c>
      <c r="N58" s="6">
        <f t="shared" si="1"/>
        <v>0</v>
      </c>
      <c r="O58" s="342">
        <f>NPA_13!D58</f>
        <v>0</v>
      </c>
      <c r="P58" s="6">
        <f t="shared" si="2"/>
        <v>0</v>
      </c>
    </row>
    <row r="59" spans="1:16" ht="15" customHeight="1">
      <c r="A59" s="183"/>
      <c r="B59" s="206" t="s">
        <v>276</v>
      </c>
      <c r="C59" s="251">
        <f>C58+C56+C52+C34+C27</f>
        <v>4998</v>
      </c>
      <c r="D59" s="251">
        <f aca="true" t="shared" si="9" ref="D59:L59">D58+D56+D52+D34+D27</f>
        <v>79185.74789900001</v>
      </c>
      <c r="E59" s="251">
        <f t="shared" si="9"/>
        <v>1636</v>
      </c>
      <c r="F59" s="251">
        <f t="shared" si="9"/>
        <v>9985.52</v>
      </c>
      <c r="G59" s="251">
        <f t="shared" si="9"/>
        <v>2062</v>
      </c>
      <c r="H59" s="251">
        <f t="shared" si="9"/>
        <v>5655</v>
      </c>
      <c r="I59" s="251">
        <f t="shared" si="9"/>
        <v>48604</v>
      </c>
      <c r="J59" s="251">
        <f t="shared" si="9"/>
        <v>281450.062101</v>
      </c>
      <c r="K59" s="251">
        <f t="shared" si="9"/>
        <v>57300</v>
      </c>
      <c r="L59" s="251">
        <f t="shared" si="9"/>
        <v>376276.33</v>
      </c>
      <c r="M59" s="6">
        <f>NPA_PS_14!N59</f>
        <v>726010.9668982001</v>
      </c>
      <c r="N59" s="6">
        <f t="shared" si="1"/>
        <v>1102287.2968982002</v>
      </c>
      <c r="O59" s="342">
        <f>NPA_13!D59</f>
        <v>1102287.7474969</v>
      </c>
      <c r="P59" s="6">
        <f t="shared" si="2"/>
        <v>-0.45059869973920286</v>
      </c>
    </row>
  </sheetData>
  <sheetProtection/>
  <mergeCells count="10">
    <mergeCell ref="A1:L1"/>
    <mergeCell ref="A2:L2"/>
    <mergeCell ref="K4:L4"/>
    <mergeCell ref="E4:F4"/>
    <mergeCell ref="G4:H4"/>
    <mergeCell ref="I4:J4"/>
    <mergeCell ref="I3:J3"/>
    <mergeCell ref="A4:A5"/>
    <mergeCell ref="B4:B5"/>
    <mergeCell ref="C4:D4"/>
  </mergeCells>
  <conditionalFormatting sqref="I3">
    <cfRule type="cellIs" priority="7" dxfId="198" operator="lessThan">
      <formula>0</formula>
    </cfRule>
  </conditionalFormatting>
  <conditionalFormatting sqref="B6">
    <cfRule type="duplicateValues" priority="1" dxfId="197">
      <formula>AND(COUNTIF($B$6:$B$6,B6)&gt;1,NOT(ISBLANK(B6)))</formula>
    </cfRule>
  </conditionalFormatting>
  <conditionalFormatting sqref="B22">
    <cfRule type="duplicateValues" priority="2" dxfId="197">
      <formula>AND(COUNTIF($B$22:$B$22,B22)&gt;1,NOT(ISBLANK(B22)))</formula>
    </cfRule>
  </conditionalFormatting>
  <conditionalFormatting sqref="B33:B34 B26:B30">
    <cfRule type="duplicateValues" priority="3" dxfId="197">
      <formula>AND(COUNTIF($B$33:$B$34,B26)+COUNTIF($B$26:$B$30,B26)&gt;1,NOT(ISBLANK(B26)))</formula>
    </cfRule>
  </conditionalFormatting>
  <conditionalFormatting sqref="B52">
    <cfRule type="duplicateValues" priority="4" dxfId="197">
      <formula>AND(COUNTIF($B$52:$B$52,B52)&gt;1,NOT(ISBLANK(B52)))</formula>
    </cfRule>
  </conditionalFormatting>
  <conditionalFormatting sqref="B56">
    <cfRule type="duplicateValues" priority="5" dxfId="197">
      <formula>AND(COUNTIF($B$56:$B$56,B56)&gt;1,NOT(ISBLANK(B56)))</formula>
    </cfRule>
  </conditionalFormatting>
  <conditionalFormatting sqref="B58">
    <cfRule type="duplicateValues" priority="6" dxfId="197">
      <formula>AND(COUNTIF($B$58:$B$58,B58)&gt;1,NOT(ISBLANK(B58)))</formula>
    </cfRule>
  </conditionalFormatting>
  <printOptions/>
  <pageMargins left="0.7" right="0.45" top="0.25" bottom="0.25" header="0.3" footer="0.3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X59"/>
  <sheetViews>
    <sheetView view="pageBreakPreview" zoomScale="60" zoomScalePageLayoutView="0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2" sqref="K12"/>
    </sheetView>
  </sheetViews>
  <sheetFormatPr defaultColWidth="9.140625" defaultRowHeight="12.75"/>
  <cols>
    <col min="1" max="1" width="4.28125" style="5" customWidth="1"/>
    <col min="2" max="2" width="24.421875" style="5" bestFit="1" customWidth="1"/>
    <col min="3" max="3" width="8.421875" style="6" bestFit="1" customWidth="1"/>
    <col min="4" max="4" width="8.28125" style="6" bestFit="1" customWidth="1"/>
    <col min="5" max="5" width="9.00390625" style="6" bestFit="1" customWidth="1"/>
    <col min="6" max="6" width="9.8515625" style="6" bestFit="1" customWidth="1"/>
    <col min="7" max="7" width="9.00390625" style="30" bestFit="1" customWidth="1"/>
    <col min="8" max="8" width="7.7109375" style="6" bestFit="1" customWidth="1"/>
    <col min="9" max="9" width="8.00390625" style="6" bestFit="1" customWidth="1"/>
    <col min="10" max="10" width="8.421875" style="6" bestFit="1" customWidth="1"/>
    <col min="11" max="11" width="9.140625" style="6" bestFit="1" customWidth="1"/>
    <col min="12" max="12" width="9.00390625" style="30" bestFit="1" customWidth="1"/>
    <col min="13" max="13" width="9.140625" style="6" bestFit="1" customWidth="1"/>
    <col min="14" max="14" width="8.421875" style="6" bestFit="1" customWidth="1"/>
    <col min="15" max="15" width="10.140625" style="6" bestFit="1" customWidth="1"/>
    <col min="16" max="16" width="10.57421875" style="6" bestFit="1" customWidth="1"/>
    <col min="17" max="17" width="6.8515625" style="30" bestFit="1" customWidth="1"/>
    <col min="18" max="18" width="8.28125" style="6" bestFit="1" customWidth="1"/>
    <col min="19" max="19" width="8.28125" style="6" customWidth="1"/>
    <col min="20" max="21" width="8.7109375" style="6" bestFit="1" customWidth="1"/>
    <col min="22" max="22" width="9.421875" style="30" bestFit="1" customWidth="1"/>
    <col min="23" max="16384" width="9.140625" style="5" customWidth="1"/>
  </cols>
  <sheetData>
    <row r="1" spans="1:22" ht="18.75" customHeight="1">
      <c r="A1" s="625" t="s">
        <v>200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</row>
    <row r="2" spans="1:22" ht="15.75">
      <c r="A2" s="626" t="s">
        <v>32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</row>
    <row r="3" spans="1:16" ht="14.25">
      <c r="A3" s="178"/>
      <c r="B3" s="2" t="s">
        <v>12</v>
      </c>
      <c r="C3" s="186"/>
      <c r="D3" s="27"/>
      <c r="E3" s="27"/>
      <c r="F3" s="27"/>
      <c r="G3" s="34"/>
      <c r="H3" s="27"/>
      <c r="I3" s="27"/>
      <c r="J3" s="611"/>
      <c r="K3" s="611"/>
      <c r="L3" s="4"/>
      <c r="M3" s="186"/>
      <c r="N3" s="615" t="s">
        <v>199</v>
      </c>
      <c r="O3" s="615"/>
      <c r="P3" s="270"/>
    </row>
    <row r="4" spans="1:22" ht="39.75" customHeight="1">
      <c r="A4" s="628" t="s">
        <v>2</v>
      </c>
      <c r="B4" s="628" t="s">
        <v>3</v>
      </c>
      <c r="C4" s="554" t="s">
        <v>115</v>
      </c>
      <c r="D4" s="553"/>
      <c r="E4" s="554" t="s">
        <v>43</v>
      </c>
      <c r="F4" s="553"/>
      <c r="G4" s="631" t="s">
        <v>120</v>
      </c>
      <c r="H4" s="554" t="s">
        <v>116</v>
      </c>
      <c r="I4" s="553"/>
      <c r="J4" s="554" t="s">
        <v>42</v>
      </c>
      <c r="K4" s="553"/>
      <c r="L4" s="631" t="s">
        <v>120</v>
      </c>
      <c r="M4" s="554" t="s">
        <v>117</v>
      </c>
      <c r="N4" s="553"/>
      <c r="O4" s="554" t="s">
        <v>41</v>
      </c>
      <c r="P4" s="552"/>
      <c r="Q4" s="623" t="s">
        <v>99</v>
      </c>
      <c r="R4" s="554" t="s">
        <v>201</v>
      </c>
      <c r="S4" s="553"/>
      <c r="T4" s="554" t="s">
        <v>202</v>
      </c>
      <c r="U4" s="552"/>
      <c r="V4" s="623" t="s">
        <v>99</v>
      </c>
    </row>
    <row r="5" spans="1:22" ht="12.75">
      <c r="A5" s="629"/>
      <c r="B5" s="630"/>
      <c r="C5" s="268" t="s">
        <v>22</v>
      </c>
      <c r="D5" s="268" t="s">
        <v>23</v>
      </c>
      <c r="E5" s="268" t="s">
        <v>22</v>
      </c>
      <c r="F5" s="268" t="s">
        <v>23</v>
      </c>
      <c r="G5" s="632"/>
      <c r="H5" s="268" t="s">
        <v>22</v>
      </c>
      <c r="I5" s="268" t="s">
        <v>23</v>
      </c>
      <c r="J5" s="268" t="s">
        <v>22</v>
      </c>
      <c r="K5" s="268" t="s">
        <v>23</v>
      </c>
      <c r="L5" s="632"/>
      <c r="M5" s="268" t="s">
        <v>22</v>
      </c>
      <c r="N5" s="268" t="s">
        <v>23</v>
      </c>
      <c r="O5" s="268" t="s">
        <v>22</v>
      </c>
      <c r="P5" s="261" t="s">
        <v>23</v>
      </c>
      <c r="Q5" s="624"/>
      <c r="R5" s="268" t="s">
        <v>22</v>
      </c>
      <c r="S5" s="268" t="s">
        <v>23</v>
      </c>
      <c r="T5" s="268" t="s">
        <v>22</v>
      </c>
      <c r="U5" s="261" t="s">
        <v>23</v>
      </c>
      <c r="V5" s="624"/>
    </row>
    <row r="6" spans="1:24" ht="13.5">
      <c r="A6" s="79">
        <v>1</v>
      </c>
      <c r="B6" s="80" t="s">
        <v>57</v>
      </c>
      <c r="C6" s="29">
        <v>296</v>
      </c>
      <c r="D6" s="29">
        <v>485.56</v>
      </c>
      <c r="E6" s="29">
        <v>3948</v>
      </c>
      <c r="F6" s="29">
        <v>8764</v>
      </c>
      <c r="G6" s="269">
        <f>D6*100/F6</f>
        <v>5.540392514833409</v>
      </c>
      <c r="H6" s="29">
        <v>138</v>
      </c>
      <c r="I6" s="29">
        <v>398.75</v>
      </c>
      <c r="J6" s="29">
        <v>862</v>
      </c>
      <c r="K6" s="29">
        <v>4834.47</v>
      </c>
      <c r="L6" s="269">
        <f>I6*100/K6</f>
        <v>8.248060283753958</v>
      </c>
      <c r="M6" s="29">
        <v>976</v>
      </c>
      <c r="N6" s="29">
        <v>912.2</v>
      </c>
      <c r="O6" s="29">
        <v>9452</v>
      </c>
      <c r="P6" s="29">
        <v>7801.23</v>
      </c>
      <c r="Q6" s="269">
        <f>N6*100/P6</f>
        <v>11.69302789431923</v>
      </c>
      <c r="R6" s="29">
        <v>244</v>
      </c>
      <c r="S6" s="29">
        <v>105.8</v>
      </c>
      <c r="T6" s="29">
        <f>'Weaker Sec_7'!G6</f>
        <v>1520</v>
      </c>
      <c r="U6" s="29">
        <f>'Weaker Sec_7'!H6</f>
        <v>763.18</v>
      </c>
      <c r="V6" s="269">
        <f>S6*100/U6</f>
        <v>13.863046725543123</v>
      </c>
      <c r="W6" s="627"/>
      <c r="X6" s="627"/>
    </row>
    <row r="7" spans="1:24" ht="13.5">
      <c r="A7" s="79">
        <v>2</v>
      </c>
      <c r="B7" s="80" t="s">
        <v>58</v>
      </c>
      <c r="C7" s="29">
        <v>34</v>
      </c>
      <c r="D7" s="29">
        <v>42</v>
      </c>
      <c r="E7" s="29">
        <v>476</v>
      </c>
      <c r="F7" s="29">
        <v>501</v>
      </c>
      <c r="G7" s="269">
        <f aca="true" t="shared" si="0" ref="G7:G59">D7*100/F7</f>
        <v>8.383233532934131</v>
      </c>
      <c r="H7" s="29">
        <v>5</v>
      </c>
      <c r="I7" s="29">
        <v>8</v>
      </c>
      <c r="J7" s="29">
        <v>17</v>
      </c>
      <c r="K7" s="29">
        <v>77</v>
      </c>
      <c r="L7" s="269">
        <f aca="true" t="shared" si="1" ref="L7:L59">I7*100/K7</f>
        <v>10.38961038961039</v>
      </c>
      <c r="M7" s="29">
        <v>0</v>
      </c>
      <c r="N7" s="29">
        <v>0</v>
      </c>
      <c r="O7" s="29">
        <v>0</v>
      </c>
      <c r="P7" s="29">
        <v>0</v>
      </c>
      <c r="Q7" s="269">
        <v>0</v>
      </c>
      <c r="R7" s="29">
        <v>0</v>
      </c>
      <c r="S7" s="29">
        <v>0</v>
      </c>
      <c r="T7" s="29">
        <f>'Weaker Sec_7'!G7</f>
        <v>0</v>
      </c>
      <c r="U7" s="29">
        <f>'Weaker Sec_7'!H7</f>
        <v>0</v>
      </c>
      <c r="V7" s="269">
        <v>0</v>
      </c>
      <c r="W7" s="627"/>
      <c r="X7" s="627"/>
    </row>
    <row r="8" spans="1:24" ht="13.5">
      <c r="A8" s="79">
        <v>3</v>
      </c>
      <c r="B8" s="80" t="s">
        <v>59</v>
      </c>
      <c r="C8" s="29">
        <v>149</v>
      </c>
      <c r="D8" s="29">
        <v>178</v>
      </c>
      <c r="E8" s="29">
        <v>2025</v>
      </c>
      <c r="F8" s="29">
        <v>2196</v>
      </c>
      <c r="G8" s="269">
        <f t="shared" si="0"/>
        <v>8.105646630236794</v>
      </c>
      <c r="H8" s="29">
        <v>158</v>
      </c>
      <c r="I8" s="29">
        <v>389</v>
      </c>
      <c r="J8" s="29">
        <v>1635</v>
      </c>
      <c r="K8" s="29">
        <v>6455</v>
      </c>
      <c r="L8" s="269">
        <f t="shared" si="1"/>
        <v>6.026336173508908</v>
      </c>
      <c r="M8" s="29">
        <v>2257</v>
      </c>
      <c r="N8" s="29">
        <v>1395</v>
      </c>
      <c r="O8" s="29">
        <v>13016</v>
      </c>
      <c r="P8" s="29">
        <v>9154</v>
      </c>
      <c r="Q8" s="269">
        <f>N8*100/P8</f>
        <v>15.23923967664409</v>
      </c>
      <c r="R8" s="29">
        <v>53</v>
      </c>
      <c r="S8" s="29">
        <v>109</v>
      </c>
      <c r="T8" s="29">
        <f>'Weaker Sec_7'!G8</f>
        <v>657</v>
      </c>
      <c r="U8" s="29">
        <f>'Weaker Sec_7'!H8</f>
        <v>859.16</v>
      </c>
      <c r="V8" s="269">
        <f aca="true" t="shared" si="2" ref="V8:V59">S8*100/U8</f>
        <v>12.68681037292239</v>
      </c>
      <c r="W8" s="627"/>
      <c r="X8" s="627"/>
    </row>
    <row r="9" spans="1:24" ht="13.5">
      <c r="A9" s="79">
        <v>4</v>
      </c>
      <c r="B9" s="80" t="s">
        <v>60</v>
      </c>
      <c r="C9" s="29">
        <v>260</v>
      </c>
      <c r="D9" s="29">
        <v>1295</v>
      </c>
      <c r="E9" s="29">
        <v>5564</v>
      </c>
      <c r="F9" s="29">
        <v>31502</v>
      </c>
      <c r="G9" s="269">
        <f t="shared" si="0"/>
        <v>4.1108501047552535</v>
      </c>
      <c r="H9" s="29">
        <v>97</v>
      </c>
      <c r="I9" s="29">
        <v>476</v>
      </c>
      <c r="J9" s="29">
        <v>1629</v>
      </c>
      <c r="K9" s="29">
        <v>7783</v>
      </c>
      <c r="L9" s="269">
        <f t="shared" si="1"/>
        <v>6.1158936142875495</v>
      </c>
      <c r="M9" s="29">
        <v>2221</v>
      </c>
      <c r="N9" s="29">
        <v>1285.688581</v>
      </c>
      <c r="O9" s="29">
        <v>52138</v>
      </c>
      <c r="P9" s="29">
        <v>35394.5217533</v>
      </c>
      <c r="Q9" s="269">
        <f>N9*100/P9</f>
        <v>3.632450778573182</v>
      </c>
      <c r="R9" s="29">
        <v>61</v>
      </c>
      <c r="S9" s="29">
        <v>59</v>
      </c>
      <c r="T9" s="29">
        <f>'Weaker Sec_7'!G9</f>
        <v>2215</v>
      </c>
      <c r="U9" s="29">
        <f>'Weaker Sec_7'!H9</f>
        <v>2263</v>
      </c>
      <c r="V9" s="269">
        <f t="shared" si="2"/>
        <v>2.6071586389748123</v>
      </c>
      <c r="W9" s="627"/>
      <c r="X9" s="627"/>
    </row>
    <row r="10" spans="1:22" ht="13.5">
      <c r="A10" s="79">
        <v>5</v>
      </c>
      <c r="B10" s="80" t="s">
        <v>61</v>
      </c>
      <c r="C10" s="29">
        <v>393</v>
      </c>
      <c r="D10" s="29">
        <v>629</v>
      </c>
      <c r="E10" s="29">
        <v>2729</v>
      </c>
      <c r="F10" s="29">
        <v>13645</v>
      </c>
      <c r="G10" s="269">
        <f t="shared" si="0"/>
        <v>4.609747160131916</v>
      </c>
      <c r="H10" s="29">
        <v>110</v>
      </c>
      <c r="I10" s="29">
        <v>298</v>
      </c>
      <c r="J10" s="29">
        <v>603</v>
      </c>
      <c r="K10" s="29">
        <v>868</v>
      </c>
      <c r="L10" s="269">
        <f t="shared" si="1"/>
        <v>34.33179723502304</v>
      </c>
      <c r="M10" s="29">
        <v>2066</v>
      </c>
      <c r="N10" s="29">
        <v>1503.8</v>
      </c>
      <c r="O10" s="29">
        <v>10812</v>
      </c>
      <c r="P10" s="29">
        <v>10218</v>
      </c>
      <c r="Q10" s="269">
        <f>N10*100/P10</f>
        <v>14.717165785868076</v>
      </c>
      <c r="R10" s="29">
        <v>112</v>
      </c>
      <c r="S10" s="29">
        <v>197</v>
      </c>
      <c r="T10" s="29">
        <f>'Weaker Sec_7'!G10</f>
        <v>645</v>
      </c>
      <c r="U10" s="29">
        <f>'Weaker Sec_7'!H10</f>
        <v>613</v>
      </c>
      <c r="V10" s="269">
        <v>0</v>
      </c>
    </row>
    <row r="11" spans="1:22" ht="13.5">
      <c r="A11" s="79">
        <v>6</v>
      </c>
      <c r="B11" s="273" t="s">
        <v>289</v>
      </c>
      <c r="C11" s="29">
        <v>0</v>
      </c>
      <c r="D11" s="29">
        <v>0</v>
      </c>
      <c r="E11" s="29">
        <v>0</v>
      </c>
      <c r="F11" s="29">
        <v>0</v>
      </c>
      <c r="G11" s="269">
        <v>0</v>
      </c>
      <c r="H11" s="29">
        <v>0</v>
      </c>
      <c r="I11" s="29">
        <v>0</v>
      </c>
      <c r="J11" s="29">
        <v>0</v>
      </c>
      <c r="K11" s="29">
        <v>0</v>
      </c>
      <c r="L11" s="269">
        <v>0</v>
      </c>
      <c r="M11" s="29">
        <v>0</v>
      </c>
      <c r="N11" s="29">
        <v>0</v>
      </c>
      <c r="O11" s="29">
        <v>0</v>
      </c>
      <c r="P11" s="29">
        <v>0</v>
      </c>
      <c r="Q11" s="269">
        <v>0</v>
      </c>
      <c r="R11" s="29">
        <v>0</v>
      </c>
      <c r="S11" s="29">
        <v>0</v>
      </c>
      <c r="T11" s="29">
        <f>'Weaker Sec_7'!G11</f>
        <v>10</v>
      </c>
      <c r="U11" s="29">
        <f>'Weaker Sec_7'!H11</f>
        <v>23.7</v>
      </c>
      <c r="V11" s="269">
        <v>0</v>
      </c>
    </row>
    <row r="12" spans="1:22" ht="13.5">
      <c r="A12" s="79">
        <v>7</v>
      </c>
      <c r="B12" s="80" t="s">
        <v>62</v>
      </c>
      <c r="C12" s="29">
        <v>235</v>
      </c>
      <c r="D12" s="29">
        <v>94</v>
      </c>
      <c r="E12" s="29">
        <v>672</v>
      </c>
      <c r="F12" s="29">
        <v>542</v>
      </c>
      <c r="G12" s="269">
        <f t="shared" si="0"/>
        <v>17.343173431734318</v>
      </c>
      <c r="H12" s="29">
        <v>72</v>
      </c>
      <c r="I12" s="29">
        <v>194</v>
      </c>
      <c r="J12" s="29">
        <v>305</v>
      </c>
      <c r="K12" s="29">
        <v>1449</v>
      </c>
      <c r="L12" s="269">
        <f t="shared" si="1"/>
        <v>13.388543823326431</v>
      </c>
      <c r="M12" s="29">
        <v>0</v>
      </c>
      <c r="N12" s="29">
        <v>0</v>
      </c>
      <c r="O12" s="29">
        <v>0</v>
      </c>
      <c r="P12" s="29">
        <v>0</v>
      </c>
      <c r="Q12" s="269">
        <v>0</v>
      </c>
      <c r="R12" s="29">
        <v>0</v>
      </c>
      <c r="S12" s="29">
        <v>0</v>
      </c>
      <c r="T12" s="29">
        <f>'Weaker Sec_7'!G12</f>
        <v>609</v>
      </c>
      <c r="U12" s="29">
        <f>'Weaker Sec_7'!H12</f>
        <v>490</v>
      </c>
      <c r="V12" s="269">
        <f t="shared" si="2"/>
        <v>0</v>
      </c>
    </row>
    <row r="13" spans="1:22" ht="13.5">
      <c r="A13" s="79">
        <v>8</v>
      </c>
      <c r="B13" s="80" t="s">
        <v>63</v>
      </c>
      <c r="C13" s="29">
        <v>573</v>
      </c>
      <c r="D13" s="29">
        <v>550</v>
      </c>
      <c r="E13" s="29">
        <v>16796</v>
      </c>
      <c r="F13" s="29">
        <v>31453</v>
      </c>
      <c r="G13" s="269">
        <f t="shared" si="0"/>
        <v>1.7486408291736877</v>
      </c>
      <c r="H13" s="29">
        <v>217</v>
      </c>
      <c r="I13" s="29">
        <v>923</v>
      </c>
      <c r="J13" s="29">
        <v>2169</v>
      </c>
      <c r="K13" s="29">
        <v>44236</v>
      </c>
      <c r="L13" s="269">
        <f t="shared" si="1"/>
        <v>2.0865358531512794</v>
      </c>
      <c r="M13" s="29">
        <v>7741</v>
      </c>
      <c r="N13" s="29">
        <v>4559</v>
      </c>
      <c r="O13" s="29">
        <v>82537</v>
      </c>
      <c r="P13" s="29">
        <v>60342</v>
      </c>
      <c r="Q13" s="269">
        <f>N13*100/P13</f>
        <v>7.55526830400053</v>
      </c>
      <c r="R13" s="29">
        <v>91</v>
      </c>
      <c r="S13" s="29">
        <v>115</v>
      </c>
      <c r="T13" s="29">
        <f>'Weaker Sec_7'!G13</f>
        <v>6675</v>
      </c>
      <c r="U13" s="29">
        <f>'Weaker Sec_7'!H13</f>
        <v>3120</v>
      </c>
      <c r="V13" s="269">
        <f t="shared" si="2"/>
        <v>3.6858974358974357</v>
      </c>
    </row>
    <row r="14" spans="1:22" ht="13.5">
      <c r="A14" s="79">
        <v>9</v>
      </c>
      <c r="B14" s="80" t="s">
        <v>50</v>
      </c>
      <c r="C14" s="29">
        <v>37</v>
      </c>
      <c r="D14" s="29">
        <v>28</v>
      </c>
      <c r="E14" s="29">
        <v>108</v>
      </c>
      <c r="F14" s="29">
        <v>8154</v>
      </c>
      <c r="G14" s="269">
        <f t="shared" si="0"/>
        <v>0.3433897473632573</v>
      </c>
      <c r="H14" s="29">
        <v>130</v>
      </c>
      <c r="I14" s="29">
        <v>138</v>
      </c>
      <c r="J14" s="29">
        <v>330</v>
      </c>
      <c r="K14" s="29">
        <v>1415</v>
      </c>
      <c r="L14" s="269">
        <f t="shared" si="1"/>
        <v>9.752650176678445</v>
      </c>
      <c r="M14" s="29">
        <v>0</v>
      </c>
      <c r="N14" s="29">
        <v>0</v>
      </c>
      <c r="O14" s="29">
        <v>0</v>
      </c>
      <c r="P14" s="29">
        <v>0</v>
      </c>
      <c r="Q14" s="269">
        <v>0</v>
      </c>
      <c r="R14" s="29">
        <v>0</v>
      </c>
      <c r="S14" s="29">
        <v>0</v>
      </c>
      <c r="T14" s="29">
        <f>'Weaker Sec_7'!G14</f>
        <v>85</v>
      </c>
      <c r="U14" s="29">
        <f>'Weaker Sec_7'!H14</f>
        <v>106</v>
      </c>
      <c r="V14" s="269">
        <f t="shared" si="2"/>
        <v>0</v>
      </c>
    </row>
    <row r="15" spans="1:22" ht="13.5">
      <c r="A15" s="79">
        <v>10</v>
      </c>
      <c r="B15" s="80" t="s">
        <v>51</v>
      </c>
      <c r="C15" s="29">
        <v>75</v>
      </c>
      <c r="D15" s="29">
        <v>144.53</v>
      </c>
      <c r="E15" s="29">
        <v>1114</v>
      </c>
      <c r="F15" s="29">
        <v>2619.62</v>
      </c>
      <c r="G15" s="269">
        <f t="shared" si="0"/>
        <v>5.517212420122003</v>
      </c>
      <c r="H15" s="29">
        <v>54</v>
      </c>
      <c r="I15" s="29">
        <v>107.73</v>
      </c>
      <c r="J15" s="29">
        <v>229</v>
      </c>
      <c r="K15" s="29">
        <v>891.19</v>
      </c>
      <c r="L15" s="269">
        <f t="shared" si="1"/>
        <v>12.088331332263602</v>
      </c>
      <c r="M15" s="29">
        <v>0</v>
      </c>
      <c r="N15" s="29">
        <v>0</v>
      </c>
      <c r="O15" s="29">
        <v>0</v>
      </c>
      <c r="P15" s="29">
        <v>0</v>
      </c>
      <c r="Q15" s="269">
        <v>0</v>
      </c>
      <c r="R15" s="29">
        <v>52</v>
      </c>
      <c r="S15" s="29">
        <v>54.5</v>
      </c>
      <c r="T15" s="29">
        <f>'Weaker Sec_7'!G15</f>
        <v>83</v>
      </c>
      <c r="U15" s="29">
        <f>'Weaker Sec_7'!H15</f>
        <v>79</v>
      </c>
      <c r="V15" s="269">
        <f t="shared" si="2"/>
        <v>68.9873417721519</v>
      </c>
    </row>
    <row r="16" spans="1:22" ht="13.5">
      <c r="A16" s="79">
        <v>11</v>
      </c>
      <c r="B16" s="80" t="s">
        <v>290</v>
      </c>
      <c r="C16" s="29">
        <v>0</v>
      </c>
      <c r="D16" s="29">
        <v>0</v>
      </c>
      <c r="E16" s="29">
        <v>0</v>
      </c>
      <c r="F16" s="29">
        <v>0</v>
      </c>
      <c r="G16" s="269">
        <v>0</v>
      </c>
      <c r="H16" s="29">
        <v>0</v>
      </c>
      <c r="I16" s="29">
        <v>0</v>
      </c>
      <c r="J16" s="29">
        <v>0</v>
      </c>
      <c r="K16" s="29">
        <v>0</v>
      </c>
      <c r="L16" s="269">
        <v>0</v>
      </c>
      <c r="M16" s="29">
        <v>0</v>
      </c>
      <c r="N16" s="29">
        <v>0</v>
      </c>
      <c r="O16" s="29">
        <v>0</v>
      </c>
      <c r="P16" s="29">
        <v>0</v>
      </c>
      <c r="Q16" s="269">
        <v>0</v>
      </c>
      <c r="R16" s="29">
        <v>0</v>
      </c>
      <c r="S16" s="29">
        <v>0</v>
      </c>
      <c r="T16" s="29">
        <f>'Weaker Sec_7'!G16</f>
        <v>3258</v>
      </c>
      <c r="U16" s="29">
        <f>'Weaker Sec_7'!H16</f>
        <v>4258</v>
      </c>
      <c r="V16" s="269">
        <v>0</v>
      </c>
    </row>
    <row r="17" spans="1:22" ht="13.5">
      <c r="A17" s="79">
        <v>12</v>
      </c>
      <c r="B17" s="80" t="s">
        <v>64</v>
      </c>
      <c r="C17" s="29">
        <v>64</v>
      </c>
      <c r="D17" s="29">
        <v>84</v>
      </c>
      <c r="E17" s="29">
        <v>349</v>
      </c>
      <c r="F17" s="29">
        <v>1049</v>
      </c>
      <c r="G17" s="269">
        <f t="shared" si="0"/>
        <v>8.007626310772164</v>
      </c>
      <c r="H17" s="29">
        <v>15</v>
      </c>
      <c r="I17" s="29">
        <v>77.39</v>
      </c>
      <c r="J17" s="29">
        <v>109</v>
      </c>
      <c r="K17" s="29">
        <v>689</v>
      </c>
      <c r="L17" s="269">
        <f t="shared" si="1"/>
        <v>11.2322206095791</v>
      </c>
      <c r="M17" s="29">
        <v>0</v>
      </c>
      <c r="N17" s="29">
        <v>0</v>
      </c>
      <c r="O17" s="29">
        <v>0</v>
      </c>
      <c r="P17" s="29">
        <v>0</v>
      </c>
      <c r="Q17" s="269">
        <v>0</v>
      </c>
      <c r="R17" s="29">
        <v>64</v>
      </c>
      <c r="S17" s="29">
        <v>49</v>
      </c>
      <c r="T17" s="29">
        <f>'Weaker Sec_7'!G17</f>
        <v>525</v>
      </c>
      <c r="U17" s="29">
        <f>'Weaker Sec_7'!H17</f>
        <v>713.58</v>
      </c>
      <c r="V17" s="269">
        <f t="shared" si="2"/>
        <v>6.8667843829703745</v>
      </c>
    </row>
    <row r="18" spans="1:22" ht="13.5">
      <c r="A18" s="79">
        <v>13</v>
      </c>
      <c r="B18" s="80" t="s">
        <v>65</v>
      </c>
      <c r="C18" s="29">
        <v>0</v>
      </c>
      <c r="D18" s="29">
        <v>0</v>
      </c>
      <c r="E18" s="29">
        <v>0</v>
      </c>
      <c r="F18" s="29">
        <v>0</v>
      </c>
      <c r="G18" s="269">
        <v>0</v>
      </c>
      <c r="H18" s="29">
        <v>4</v>
      </c>
      <c r="I18" s="29">
        <v>9.16</v>
      </c>
      <c r="J18" s="29">
        <v>153</v>
      </c>
      <c r="K18" s="29">
        <v>1224</v>
      </c>
      <c r="L18" s="269">
        <f t="shared" si="1"/>
        <v>0.7483660130718954</v>
      </c>
      <c r="M18" s="29">
        <v>9</v>
      </c>
      <c r="N18" s="29">
        <v>8.51</v>
      </c>
      <c r="O18" s="29">
        <v>1956</v>
      </c>
      <c r="P18" s="29">
        <v>1775</v>
      </c>
      <c r="Q18" s="269">
        <f>N18*100/P18</f>
        <v>0.47943661971830986</v>
      </c>
      <c r="R18" s="29">
        <v>0</v>
      </c>
      <c r="S18" s="29">
        <v>0</v>
      </c>
      <c r="T18" s="29">
        <f>'Weaker Sec_7'!G18</f>
        <v>0</v>
      </c>
      <c r="U18" s="29">
        <f>'Weaker Sec_7'!H18</f>
        <v>0</v>
      </c>
      <c r="V18" s="269">
        <v>0</v>
      </c>
    </row>
    <row r="19" spans="1:22" ht="13.5">
      <c r="A19" s="79">
        <v>14</v>
      </c>
      <c r="B19" s="122" t="s">
        <v>316</v>
      </c>
      <c r="C19" s="29">
        <v>0</v>
      </c>
      <c r="D19" s="29">
        <v>0</v>
      </c>
      <c r="E19" s="29">
        <v>0</v>
      </c>
      <c r="F19" s="29">
        <v>0</v>
      </c>
      <c r="G19" s="269">
        <v>0</v>
      </c>
      <c r="H19" s="29">
        <v>44</v>
      </c>
      <c r="I19" s="29">
        <v>58.88</v>
      </c>
      <c r="J19" s="29">
        <v>207</v>
      </c>
      <c r="K19" s="29">
        <v>707.53</v>
      </c>
      <c r="L19" s="269">
        <f t="shared" si="1"/>
        <v>8.321908611648976</v>
      </c>
      <c r="M19" s="29">
        <v>347</v>
      </c>
      <c r="N19" s="29">
        <v>254.9</v>
      </c>
      <c r="O19" s="29">
        <v>2921</v>
      </c>
      <c r="P19" s="29">
        <v>2184.26</v>
      </c>
      <c r="Q19" s="269">
        <f>N19*100/P19</f>
        <v>11.669856152655818</v>
      </c>
      <c r="R19" s="29">
        <v>4</v>
      </c>
      <c r="S19" s="29">
        <v>3.56</v>
      </c>
      <c r="T19" s="29">
        <f>'Weaker Sec_7'!G19</f>
        <v>51</v>
      </c>
      <c r="U19" s="29">
        <f>'Weaker Sec_7'!H19</f>
        <v>55.22</v>
      </c>
      <c r="V19" s="269">
        <f t="shared" si="2"/>
        <v>6.446939514668599</v>
      </c>
    </row>
    <row r="20" spans="1:22" ht="13.5">
      <c r="A20" s="79">
        <v>15</v>
      </c>
      <c r="B20" s="80" t="s">
        <v>292</v>
      </c>
      <c r="C20" s="29">
        <v>0</v>
      </c>
      <c r="D20" s="29">
        <v>0</v>
      </c>
      <c r="E20" s="29">
        <v>162</v>
      </c>
      <c r="F20" s="29">
        <v>795</v>
      </c>
      <c r="G20" s="269">
        <f t="shared" si="0"/>
        <v>0</v>
      </c>
      <c r="H20" s="29">
        <v>0</v>
      </c>
      <c r="I20" s="29">
        <v>0</v>
      </c>
      <c r="J20" s="29">
        <v>74</v>
      </c>
      <c r="K20" s="29">
        <v>434</v>
      </c>
      <c r="L20" s="269">
        <f t="shared" si="1"/>
        <v>0</v>
      </c>
      <c r="M20" s="29">
        <v>0</v>
      </c>
      <c r="N20" s="29">
        <v>0</v>
      </c>
      <c r="O20" s="29">
        <v>0</v>
      </c>
      <c r="P20" s="29">
        <v>0</v>
      </c>
      <c r="Q20" s="269">
        <v>0</v>
      </c>
      <c r="R20" s="29">
        <v>6</v>
      </c>
      <c r="S20" s="29">
        <v>5.8</v>
      </c>
      <c r="T20" s="29">
        <f>'Weaker Sec_7'!G20</f>
        <v>22</v>
      </c>
      <c r="U20" s="29">
        <f>'Weaker Sec_7'!H20</f>
        <v>22.08</v>
      </c>
      <c r="V20" s="269">
        <f t="shared" si="2"/>
        <v>26.268115942028988</v>
      </c>
    </row>
    <row r="21" spans="1:22" ht="13.5">
      <c r="A21" s="79">
        <v>16</v>
      </c>
      <c r="B21" s="80" t="s">
        <v>66</v>
      </c>
      <c r="C21" s="29">
        <v>317</v>
      </c>
      <c r="D21" s="29">
        <v>1306</v>
      </c>
      <c r="E21" s="29">
        <v>4552</v>
      </c>
      <c r="F21" s="29">
        <v>17318</v>
      </c>
      <c r="G21" s="269">
        <f t="shared" si="0"/>
        <v>7.541286522693151</v>
      </c>
      <c r="H21" s="29">
        <v>172</v>
      </c>
      <c r="I21" s="29">
        <v>346</v>
      </c>
      <c r="J21" s="29">
        <v>1048</v>
      </c>
      <c r="K21" s="29">
        <v>4374</v>
      </c>
      <c r="L21" s="269">
        <f t="shared" si="1"/>
        <v>7.9103795153177865</v>
      </c>
      <c r="M21" s="29">
        <v>673</v>
      </c>
      <c r="N21" s="29">
        <v>578</v>
      </c>
      <c r="O21" s="29">
        <v>26907</v>
      </c>
      <c r="P21" s="29">
        <v>21483</v>
      </c>
      <c r="Q21" s="269">
        <f>N21*100/P21</f>
        <v>2.690499464693013</v>
      </c>
      <c r="R21" s="29">
        <v>556</v>
      </c>
      <c r="S21" s="29">
        <v>437</v>
      </c>
      <c r="T21" s="29">
        <f>'Weaker Sec_7'!G21</f>
        <v>2875</v>
      </c>
      <c r="U21" s="29">
        <f>'Weaker Sec_7'!H21</f>
        <v>2577</v>
      </c>
      <c r="V21" s="269">
        <f t="shared" si="2"/>
        <v>16.95770275514164</v>
      </c>
    </row>
    <row r="22" spans="1:22" ht="13.5">
      <c r="A22" s="79">
        <v>17</v>
      </c>
      <c r="B22" s="122" t="s">
        <v>67</v>
      </c>
      <c r="C22" s="29">
        <v>154</v>
      </c>
      <c r="D22" s="29">
        <v>58</v>
      </c>
      <c r="E22" s="29">
        <v>3196</v>
      </c>
      <c r="F22" s="29">
        <v>1204</v>
      </c>
      <c r="G22" s="269">
        <f t="shared" si="0"/>
        <v>4.8172757475083055</v>
      </c>
      <c r="H22" s="29">
        <v>15</v>
      </c>
      <c r="I22" s="29">
        <v>45</v>
      </c>
      <c r="J22" s="29">
        <v>35</v>
      </c>
      <c r="K22" s="29">
        <v>88</v>
      </c>
      <c r="L22" s="269">
        <f t="shared" si="1"/>
        <v>51.13636363636363</v>
      </c>
      <c r="M22" s="29">
        <v>588</v>
      </c>
      <c r="N22" s="29">
        <v>502</v>
      </c>
      <c r="O22" s="29">
        <v>3396</v>
      </c>
      <c r="P22" s="29">
        <v>2648</v>
      </c>
      <c r="Q22" s="269">
        <f>N22*100/P22</f>
        <v>18.957703927492446</v>
      </c>
      <c r="R22" s="29">
        <v>91</v>
      </c>
      <c r="S22" s="29">
        <v>46</v>
      </c>
      <c r="T22" s="29">
        <f>'Weaker Sec_7'!G22</f>
        <v>109</v>
      </c>
      <c r="U22" s="29">
        <f>'Weaker Sec_7'!H22</f>
        <v>81</v>
      </c>
      <c r="V22" s="269">
        <f t="shared" si="2"/>
        <v>56.79012345679013</v>
      </c>
    </row>
    <row r="23" spans="1:22" ht="13.5">
      <c r="A23" s="79">
        <v>18</v>
      </c>
      <c r="B23" s="80" t="s">
        <v>253</v>
      </c>
      <c r="C23" s="29">
        <v>60</v>
      </c>
      <c r="D23" s="29">
        <v>24</v>
      </c>
      <c r="E23" s="29">
        <v>890</v>
      </c>
      <c r="F23" s="29">
        <v>275</v>
      </c>
      <c r="G23" s="269">
        <f t="shared" si="0"/>
        <v>8.727272727272727</v>
      </c>
      <c r="H23" s="29">
        <v>55</v>
      </c>
      <c r="I23" s="29">
        <v>105</v>
      </c>
      <c r="J23" s="29">
        <v>345</v>
      </c>
      <c r="K23" s="29">
        <v>715</v>
      </c>
      <c r="L23" s="269">
        <f t="shared" si="1"/>
        <v>14.685314685314685</v>
      </c>
      <c r="M23" s="29">
        <v>0</v>
      </c>
      <c r="N23" s="29">
        <v>0</v>
      </c>
      <c r="O23" s="29">
        <v>0</v>
      </c>
      <c r="P23" s="29">
        <v>0</v>
      </c>
      <c r="Q23" s="269">
        <v>0</v>
      </c>
      <c r="R23" s="29">
        <v>190</v>
      </c>
      <c r="S23" s="29">
        <v>635</v>
      </c>
      <c r="T23" s="29">
        <f>'Weaker Sec_7'!G23</f>
        <v>925</v>
      </c>
      <c r="U23" s="29">
        <f>'Weaker Sec_7'!H23</f>
        <v>4025</v>
      </c>
      <c r="V23" s="269">
        <f t="shared" si="2"/>
        <v>15.77639751552795</v>
      </c>
    </row>
    <row r="24" spans="1:22" ht="13.5">
      <c r="A24" s="79">
        <v>19</v>
      </c>
      <c r="B24" s="123" t="s">
        <v>68</v>
      </c>
      <c r="C24" s="29">
        <v>96</v>
      </c>
      <c r="D24" s="29">
        <v>144.79</v>
      </c>
      <c r="E24" s="29">
        <v>1272</v>
      </c>
      <c r="F24" s="29">
        <v>2601.59</v>
      </c>
      <c r="G24" s="269">
        <f t="shared" si="0"/>
        <v>5.565442671596984</v>
      </c>
      <c r="H24" s="29">
        <v>101</v>
      </c>
      <c r="I24" s="29">
        <v>165.92</v>
      </c>
      <c r="J24" s="29">
        <v>453</v>
      </c>
      <c r="K24" s="29">
        <v>1298.378</v>
      </c>
      <c r="L24" s="269">
        <f t="shared" si="1"/>
        <v>12.779021209539904</v>
      </c>
      <c r="M24" s="29">
        <v>2243</v>
      </c>
      <c r="N24" s="29">
        <v>1271.07</v>
      </c>
      <c r="O24" s="29">
        <v>24919</v>
      </c>
      <c r="P24" s="29">
        <v>17568.93</v>
      </c>
      <c r="Q24" s="269">
        <f>N24*100/P24</f>
        <v>7.234760454962254</v>
      </c>
      <c r="R24" s="29">
        <v>185</v>
      </c>
      <c r="S24" s="29">
        <v>109.047</v>
      </c>
      <c r="T24" s="29">
        <f>'Weaker Sec_7'!G24</f>
        <v>4084</v>
      </c>
      <c r="U24" s="29">
        <f>'Weaker Sec_7'!H24</f>
        <v>2874.4</v>
      </c>
      <c r="V24" s="269">
        <f t="shared" si="2"/>
        <v>3.793730865571945</v>
      </c>
    </row>
    <row r="25" spans="1:22" ht="13.5">
      <c r="A25" s="79">
        <v>20</v>
      </c>
      <c r="B25" s="80" t="s">
        <v>69</v>
      </c>
      <c r="C25" s="29">
        <v>31</v>
      </c>
      <c r="D25" s="29">
        <v>19</v>
      </c>
      <c r="E25" s="29">
        <v>128</v>
      </c>
      <c r="F25" s="29">
        <v>99</v>
      </c>
      <c r="G25" s="269">
        <f t="shared" si="0"/>
        <v>19.19191919191919</v>
      </c>
      <c r="H25" s="29">
        <v>4</v>
      </c>
      <c r="I25" s="29">
        <v>2</v>
      </c>
      <c r="J25" s="29">
        <v>10</v>
      </c>
      <c r="K25" s="29">
        <v>17.9</v>
      </c>
      <c r="L25" s="269">
        <f t="shared" si="1"/>
        <v>11.173184357541901</v>
      </c>
      <c r="M25" s="29">
        <v>0</v>
      </c>
      <c r="N25" s="29">
        <v>0</v>
      </c>
      <c r="O25" s="29">
        <v>0</v>
      </c>
      <c r="P25" s="29">
        <v>0</v>
      </c>
      <c r="Q25" s="269">
        <v>0</v>
      </c>
      <c r="R25" s="29">
        <v>0</v>
      </c>
      <c r="S25" s="29">
        <v>0</v>
      </c>
      <c r="T25" s="29">
        <f>'Weaker Sec_7'!G25</f>
        <v>0</v>
      </c>
      <c r="U25" s="29">
        <f>'Weaker Sec_7'!H25</f>
        <v>0</v>
      </c>
      <c r="V25" s="269">
        <v>0</v>
      </c>
    </row>
    <row r="26" spans="1:22" ht="13.5">
      <c r="A26" s="79">
        <v>21</v>
      </c>
      <c r="B26" s="80" t="s">
        <v>52</v>
      </c>
      <c r="C26" s="29">
        <v>335</v>
      </c>
      <c r="D26" s="29">
        <v>246.88</v>
      </c>
      <c r="E26" s="29">
        <v>1339</v>
      </c>
      <c r="F26" s="29">
        <v>3061.49</v>
      </c>
      <c r="G26" s="269">
        <f t="shared" si="0"/>
        <v>8.064047244968954</v>
      </c>
      <c r="H26" s="29">
        <v>26</v>
      </c>
      <c r="I26" s="29">
        <v>96.63</v>
      </c>
      <c r="J26" s="29">
        <v>187</v>
      </c>
      <c r="K26" s="29">
        <v>1114.27</v>
      </c>
      <c r="L26" s="269">
        <f t="shared" si="1"/>
        <v>8.672045374998879</v>
      </c>
      <c r="M26" s="29">
        <v>0</v>
      </c>
      <c r="N26" s="29">
        <v>0</v>
      </c>
      <c r="O26" s="29">
        <v>0</v>
      </c>
      <c r="P26" s="29">
        <v>0</v>
      </c>
      <c r="Q26" s="269">
        <v>0</v>
      </c>
      <c r="R26" s="29">
        <v>4</v>
      </c>
      <c r="S26" s="29">
        <v>2.49</v>
      </c>
      <c r="T26" s="29">
        <f>'Weaker Sec_7'!G26</f>
        <v>27</v>
      </c>
      <c r="U26" s="29">
        <f>'Weaker Sec_7'!H26</f>
        <v>15.43</v>
      </c>
      <c r="V26" s="269">
        <f t="shared" si="2"/>
        <v>16.137394685677254</v>
      </c>
    </row>
    <row r="27" spans="1:22" s="274" customFormat="1" ht="13.5">
      <c r="A27" s="262"/>
      <c r="B27" s="82" t="s">
        <v>293</v>
      </c>
      <c r="C27" s="271">
        <f>SUM(C6:C26)</f>
        <v>3109</v>
      </c>
      <c r="D27" s="271">
        <f aca="true" t="shared" si="3" ref="D27:S27">SUM(D6:D26)</f>
        <v>5328.76</v>
      </c>
      <c r="E27" s="271">
        <f t="shared" si="3"/>
        <v>45320</v>
      </c>
      <c r="F27" s="271">
        <f t="shared" si="3"/>
        <v>125779.7</v>
      </c>
      <c r="G27" s="272">
        <f t="shared" si="0"/>
        <v>4.236581896760765</v>
      </c>
      <c r="H27" s="271">
        <f t="shared" si="3"/>
        <v>1417</v>
      </c>
      <c r="I27" s="271">
        <f t="shared" si="3"/>
        <v>3838.46</v>
      </c>
      <c r="J27" s="271">
        <f t="shared" si="3"/>
        <v>10400</v>
      </c>
      <c r="K27" s="271">
        <f t="shared" si="3"/>
        <v>78670.738</v>
      </c>
      <c r="L27" s="272">
        <f t="shared" si="1"/>
        <v>4.879145788615839</v>
      </c>
      <c r="M27" s="271">
        <f t="shared" si="3"/>
        <v>19121</v>
      </c>
      <c r="N27" s="271">
        <f t="shared" si="3"/>
        <v>12270.168581</v>
      </c>
      <c r="O27" s="271">
        <f t="shared" si="3"/>
        <v>228054</v>
      </c>
      <c r="P27" s="271">
        <f t="shared" si="3"/>
        <v>168568.9417533</v>
      </c>
      <c r="Q27" s="272">
        <f>N27*100/P27</f>
        <v>7.279020947380299</v>
      </c>
      <c r="R27" s="271">
        <f t="shared" si="3"/>
        <v>1713</v>
      </c>
      <c r="S27" s="271">
        <f t="shared" si="3"/>
        <v>1928.197</v>
      </c>
      <c r="T27" s="271">
        <f>SUM(T6:T26)</f>
        <v>24375</v>
      </c>
      <c r="U27" s="271">
        <f>SUM(U6:U26)</f>
        <v>22938.75</v>
      </c>
      <c r="V27" s="272">
        <f t="shared" si="2"/>
        <v>8.405850362378072</v>
      </c>
    </row>
    <row r="28" spans="1:22" ht="13.5">
      <c r="A28" s="79">
        <v>22</v>
      </c>
      <c r="B28" s="80" t="s">
        <v>294</v>
      </c>
      <c r="C28" s="29">
        <v>0</v>
      </c>
      <c r="D28" s="29">
        <v>0</v>
      </c>
      <c r="E28" s="29">
        <v>0</v>
      </c>
      <c r="F28" s="29">
        <v>0</v>
      </c>
      <c r="G28" s="269">
        <v>0</v>
      </c>
      <c r="H28" s="29">
        <v>0</v>
      </c>
      <c r="I28" s="29">
        <v>0</v>
      </c>
      <c r="J28" s="29">
        <v>0</v>
      </c>
      <c r="K28" s="29">
        <v>0</v>
      </c>
      <c r="L28" s="269">
        <v>0</v>
      </c>
      <c r="M28" s="29">
        <v>0</v>
      </c>
      <c r="N28" s="29">
        <v>0</v>
      </c>
      <c r="O28" s="29">
        <v>0</v>
      </c>
      <c r="P28" s="29">
        <v>0</v>
      </c>
      <c r="Q28" s="269">
        <v>0</v>
      </c>
      <c r="R28" s="29">
        <v>0</v>
      </c>
      <c r="S28" s="29">
        <v>0</v>
      </c>
      <c r="T28" s="29">
        <f>'Weaker Sec_7'!G28</f>
        <v>0</v>
      </c>
      <c r="U28" s="29">
        <f>'Weaker Sec_7'!H28</f>
        <v>0</v>
      </c>
      <c r="V28" s="269">
        <v>0</v>
      </c>
    </row>
    <row r="29" spans="1:22" ht="13.5">
      <c r="A29" s="79">
        <v>23</v>
      </c>
      <c r="B29" s="80" t="s">
        <v>295</v>
      </c>
      <c r="C29" s="29">
        <v>0</v>
      </c>
      <c r="D29" s="29">
        <v>0</v>
      </c>
      <c r="E29" s="29">
        <v>0</v>
      </c>
      <c r="F29" s="29">
        <v>0</v>
      </c>
      <c r="G29" s="269">
        <v>0</v>
      </c>
      <c r="H29" s="29">
        <v>0</v>
      </c>
      <c r="I29" s="29">
        <v>0</v>
      </c>
      <c r="J29" s="29">
        <v>0</v>
      </c>
      <c r="K29" s="29">
        <v>0</v>
      </c>
      <c r="L29" s="269">
        <v>0</v>
      </c>
      <c r="M29" s="29">
        <v>0</v>
      </c>
      <c r="N29" s="29">
        <v>0</v>
      </c>
      <c r="O29" s="29">
        <v>0</v>
      </c>
      <c r="P29" s="29">
        <v>0</v>
      </c>
      <c r="Q29" s="269">
        <v>0</v>
      </c>
      <c r="R29" s="29">
        <v>0</v>
      </c>
      <c r="S29" s="29">
        <v>0</v>
      </c>
      <c r="T29" s="29">
        <f>'Weaker Sec_7'!G29</f>
        <v>0</v>
      </c>
      <c r="U29" s="29">
        <f>'Weaker Sec_7'!H29</f>
        <v>0</v>
      </c>
      <c r="V29" s="269">
        <v>0</v>
      </c>
    </row>
    <row r="30" spans="1:22" ht="13.5">
      <c r="A30" s="79">
        <v>24</v>
      </c>
      <c r="B30" s="80" t="s">
        <v>296</v>
      </c>
      <c r="C30" s="29">
        <v>5</v>
      </c>
      <c r="D30" s="29">
        <v>5</v>
      </c>
      <c r="E30" s="29"/>
      <c r="F30" s="29"/>
      <c r="G30" s="269">
        <v>0</v>
      </c>
      <c r="H30" s="29">
        <v>0</v>
      </c>
      <c r="I30" s="29">
        <v>0</v>
      </c>
      <c r="J30" s="29">
        <v>0</v>
      </c>
      <c r="K30" s="29">
        <v>0</v>
      </c>
      <c r="L30" s="269">
        <v>0</v>
      </c>
      <c r="M30" s="29">
        <v>0</v>
      </c>
      <c r="N30" s="29">
        <v>0</v>
      </c>
      <c r="O30" s="29">
        <v>0</v>
      </c>
      <c r="P30" s="29">
        <v>0</v>
      </c>
      <c r="Q30" s="269">
        <v>0</v>
      </c>
      <c r="R30" s="29">
        <v>0</v>
      </c>
      <c r="S30" s="29">
        <v>0</v>
      </c>
      <c r="T30" s="29">
        <f>'Weaker Sec_7'!G30</f>
        <v>0</v>
      </c>
      <c r="U30" s="29">
        <f>'Weaker Sec_7'!H30</f>
        <v>0</v>
      </c>
      <c r="V30" s="269">
        <v>0</v>
      </c>
    </row>
    <row r="31" spans="1:22" ht="13.5">
      <c r="A31" s="79">
        <v>25</v>
      </c>
      <c r="B31" s="273" t="s">
        <v>297</v>
      </c>
      <c r="C31" s="29">
        <v>0</v>
      </c>
      <c r="D31" s="29">
        <v>0</v>
      </c>
      <c r="E31" s="29">
        <v>0</v>
      </c>
      <c r="F31" s="29">
        <v>0</v>
      </c>
      <c r="G31" s="269">
        <v>0</v>
      </c>
      <c r="H31" s="29">
        <v>0</v>
      </c>
      <c r="I31" s="29">
        <v>0</v>
      </c>
      <c r="J31" s="29">
        <v>0</v>
      </c>
      <c r="K31" s="29">
        <v>0</v>
      </c>
      <c r="L31" s="269">
        <v>0</v>
      </c>
      <c r="M31" s="29">
        <v>0</v>
      </c>
      <c r="N31" s="29">
        <v>0</v>
      </c>
      <c r="O31" s="29">
        <v>0</v>
      </c>
      <c r="P31" s="29">
        <v>0</v>
      </c>
      <c r="Q31" s="269">
        <v>0</v>
      </c>
      <c r="R31" s="29">
        <v>0</v>
      </c>
      <c r="S31" s="29">
        <v>0</v>
      </c>
      <c r="T31" s="29">
        <f>'Weaker Sec_7'!G31</f>
        <v>0</v>
      </c>
      <c r="U31" s="29">
        <f>'Weaker Sec_7'!H31</f>
        <v>0</v>
      </c>
      <c r="V31" s="269">
        <v>0</v>
      </c>
    </row>
    <row r="32" spans="1:22" ht="13.5">
      <c r="A32" s="79">
        <v>26</v>
      </c>
      <c r="B32" s="80" t="s">
        <v>298</v>
      </c>
      <c r="C32" s="29">
        <v>90</v>
      </c>
      <c r="D32" s="29">
        <v>35.21</v>
      </c>
      <c r="E32" s="29">
        <v>0</v>
      </c>
      <c r="F32" s="29">
        <v>0</v>
      </c>
      <c r="G32" s="269">
        <v>0</v>
      </c>
      <c r="H32" s="29">
        <v>5</v>
      </c>
      <c r="I32" s="29">
        <v>0.94</v>
      </c>
      <c r="J32" s="29">
        <v>0</v>
      </c>
      <c r="K32" s="29">
        <v>0</v>
      </c>
      <c r="L32" s="269">
        <v>0</v>
      </c>
      <c r="M32" s="29">
        <v>0</v>
      </c>
      <c r="N32" s="29">
        <v>0</v>
      </c>
      <c r="O32" s="29">
        <v>0</v>
      </c>
      <c r="P32" s="29">
        <v>0</v>
      </c>
      <c r="Q32" s="269">
        <v>0</v>
      </c>
      <c r="R32" s="29">
        <v>0</v>
      </c>
      <c r="S32" s="29">
        <v>0</v>
      </c>
      <c r="T32" s="29">
        <f>'Weaker Sec_7'!G32</f>
        <v>1</v>
      </c>
      <c r="U32" s="29">
        <f>'Weaker Sec_7'!H32</f>
        <v>0.5</v>
      </c>
      <c r="V32" s="269">
        <v>0</v>
      </c>
    </row>
    <row r="33" spans="1:22" ht="13.5">
      <c r="A33" s="79">
        <v>27</v>
      </c>
      <c r="B33" s="80" t="s">
        <v>72</v>
      </c>
      <c r="C33" s="29">
        <v>3178</v>
      </c>
      <c r="D33" s="29">
        <v>2301</v>
      </c>
      <c r="E33" s="29">
        <v>15769</v>
      </c>
      <c r="F33" s="29">
        <v>22471</v>
      </c>
      <c r="G33" s="269">
        <f t="shared" si="0"/>
        <v>10.239864714520937</v>
      </c>
      <c r="H33" s="29">
        <v>682</v>
      </c>
      <c r="I33" s="29">
        <v>869</v>
      </c>
      <c r="J33" s="29">
        <v>2389</v>
      </c>
      <c r="K33" s="29">
        <v>6390</v>
      </c>
      <c r="L33" s="269">
        <f t="shared" si="1"/>
        <v>13.599374021909233</v>
      </c>
      <c r="M33" s="29">
        <v>9330</v>
      </c>
      <c r="N33" s="29">
        <v>6548</v>
      </c>
      <c r="O33" s="29">
        <v>107181</v>
      </c>
      <c r="P33" s="29">
        <v>77944</v>
      </c>
      <c r="Q33" s="269">
        <f>N33*100/P33</f>
        <v>8.400903212562866</v>
      </c>
      <c r="R33" s="29">
        <v>1545</v>
      </c>
      <c r="S33" s="29">
        <v>1304</v>
      </c>
      <c r="T33" s="29">
        <f>'Weaker Sec_7'!G33</f>
        <v>4848</v>
      </c>
      <c r="U33" s="29">
        <f>'Weaker Sec_7'!H33</f>
        <v>3591</v>
      </c>
      <c r="V33" s="269">
        <f t="shared" si="2"/>
        <v>36.313004734057365</v>
      </c>
    </row>
    <row r="34" spans="1:22" s="274" customFormat="1" ht="13.5">
      <c r="A34" s="262"/>
      <c r="B34" s="82" t="s">
        <v>299</v>
      </c>
      <c r="C34" s="271">
        <f>SUM(C28:C33)</f>
        <v>3273</v>
      </c>
      <c r="D34" s="271">
        <f aca="true" t="shared" si="4" ref="D34:S34">SUM(D28:D33)</f>
        <v>2341.21</v>
      </c>
      <c r="E34" s="271">
        <f t="shared" si="4"/>
        <v>15769</v>
      </c>
      <c r="F34" s="271">
        <f t="shared" si="4"/>
        <v>22471</v>
      </c>
      <c r="G34" s="272">
        <f t="shared" si="0"/>
        <v>10.418806461661697</v>
      </c>
      <c r="H34" s="271">
        <f t="shared" si="4"/>
        <v>687</v>
      </c>
      <c r="I34" s="271">
        <f t="shared" si="4"/>
        <v>869.94</v>
      </c>
      <c r="J34" s="271">
        <f t="shared" si="4"/>
        <v>2389</v>
      </c>
      <c r="K34" s="271">
        <f t="shared" si="4"/>
        <v>6390</v>
      </c>
      <c r="L34" s="272">
        <f t="shared" si="1"/>
        <v>13.614084507042254</v>
      </c>
      <c r="M34" s="271">
        <f t="shared" si="4"/>
        <v>9330</v>
      </c>
      <c r="N34" s="271">
        <f t="shared" si="4"/>
        <v>6548</v>
      </c>
      <c r="O34" s="271">
        <f t="shared" si="4"/>
        <v>107181</v>
      </c>
      <c r="P34" s="271">
        <f t="shared" si="4"/>
        <v>77944</v>
      </c>
      <c r="Q34" s="272">
        <f>N34*100/P34</f>
        <v>8.400903212562866</v>
      </c>
      <c r="R34" s="271">
        <f t="shared" si="4"/>
        <v>1545</v>
      </c>
      <c r="S34" s="271">
        <f t="shared" si="4"/>
        <v>1304</v>
      </c>
      <c r="T34" s="271">
        <f>SUM(T28:T33)</f>
        <v>4849</v>
      </c>
      <c r="U34" s="271">
        <f>SUM(U28:U33)</f>
        <v>3591.5</v>
      </c>
      <c r="V34" s="272">
        <f t="shared" si="2"/>
        <v>36.307949324794656</v>
      </c>
    </row>
    <row r="35" spans="1:22" ht="13.5">
      <c r="A35" s="79">
        <v>28</v>
      </c>
      <c r="B35" s="80" t="s">
        <v>49</v>
      </c>
      <c r="C35" s="29">
        <v>15</v>
      </c>
      <c r="D35" s="29">
        <v>9.73</v>
      </c>
      <c r="E35" s="29">
        <v>71</v>
      </c>
      <c r="F35" s="29">
        <v>195.71</v>
      </c>
      <c r="G35" s="269">
        <f t="shared" si="0"/>
        <v>4.971641714782075</v>
      </c>
      <c r="H35" s="29">
        <v>0</v>
      </c>
      <c r="I35" s="29">
        <v>0</v>
      </c>
      <c r="J35" s="29">
        <v>0</v>
      </c>
      <c r="K35" s="29">
        <v>0</v>
      </c>
      <c r="L35" s="269">
        <v>0</v>
      </c>
      <c r="M35" s="29">
        <v>0</v>
      </c>
      <c r="N35" s="29">
        <v>0</v>
      </c>
      <c r="O35" s="29">
        <v>0</v>
      </c>
      <c r="P35" s="29">
        <v>0</v>
      </c>
      <c r="Q35" s="269">
        <v>0</v>
      </c>
      <c r="R35" s="29">
        <v>0</v>
      </c>
      <c r="S35" s="29">
        <v>0</v>
      </c>
      <c r="T35" s="29">
        <f>'Weaker Sec_7'!G35</f>
        <v>6</v>
      </c>
      <c r="U35" s="29">
        <f>'Weaker Sec_7'!H35</f>
        <v>125.71</v>
      </c>
      <c r="V35" s="269">
        <f t="shared" si="2"/>
        <v>0</v>
      </c>
    </row>
    <row r="36" spans="1:22" ht="13.5">
      <c r="A36" s="79">
        <v>29</v>
      </c>
      <c r="B36" s="80" t="s">
        <v>53</v>
      </c>
      <c r="C36" s="29">
        <v>0</v>
      </c>
      <c r="D36" s="29">
        <v>0</v>
      </c>
      <c r="E36" s="29">
        <v>0</v>
      </c>
      <c r="F36" s="29">
        <v>0</v>
      </c>
      <c r="G36" s="269">
        <v>0</v>
      </c>
      <c r="H36" s="29">
        <v>0</v>
      </c>
      <c r="I36" s="29">
        <v>0</v>
      </c>
      <c r="J36" s="29">
        <v>0</v>
      </c>
      <c r="K36" s="29">
        <v>0</v>
      </c>
      <c r="L36" s="269">
        <v>0</v>
      </c>
      <c r="M36" s="29">
        <v>0</v>
      </c>
      <c r="N36" s="29">
        <v>0</v>
      </c>
      <c r="O36" s="29">
        <v>0</v>
      </c>
      <c r="P36" s="29">
        <v>0</v>
      </c>
      <c r="Q36" s="269">
        <v>0</v>
      </c>
      <c r="R36" s="29">
        <v>0</v>
      </c>
      <c r="S36" s="29">
        <v>0</v>
      </c>
      <c r="T36" s="29">
        <f>'Weaker Sec_7'!G36</f>
        <v>0</v>
      </c>
      <c r="U36" s="29">
        <f>'Weaker Sec_7'!H36</f>
        <v>0</v>
      </c>
      <c r="V36" s="269">
        <v>0</v>
      </c>
    </row>
    <row r="37" spans="1:22" ht="13.5">
      <c r="A37" s="79">
        <v>30</v>
      </c>
      <c r="B37" s="80" t="s">
        <v>300</v>
      </c>
      <c r="C37" s="29">
        <v>0</v>
      </c>
      <c r="D37" s="29">
        <v>0</v>
      </c>
      <c r="E37" s="29">
        <v>0</v>
      </c>
      <c r="F37" s="29">
        <v>0</v>
      </c>
      <c r="G37" s="269">
        <v>0</v>
      </c>
      <c r="H37" s="29">
        <v>0</v>
      </c>
      <c r="I37" s="29">
        <v>0</v>
      </c>
      <c r="J37" s="29">
        <v>0</v>
      </c>
      <c r="K37" s="29">
        <v>0</v>
      </c>
      <c r="L37" s="269">
        <v>0</v>
      </c>
      <c r="M37" s="29">
        <v>0</v>
      </c>
      <c r="N37" s="29">
        <v>0</v>
      </c>
      <c r="O37" s="29">
        <v>0</v>
      </c>
      <c r="P37" s="29">
        <v>0</v>
      </c>
      <c r="Q37" s="269">
        <v>0</v>
      </c>
      <c r="R37" s="29">
        <v>0</v>
      </c>
      <c r="S37" s="29">
        <v>0</v>
      </c>
      <c r="T37" s="29">
        <f>'Weaker Sec_7'!G37</f>
        <v>0</v>
      </c>
      <c r="U37" s="29">
        <f>'Weaker Sec_7'!H37</f>
        <v>0</v>
      </c>
      <c r="V37" s="269">
        <v>0</v>
      </c>
    </row>
    <row r="38" spans="1:22" ht="13.5">
      <c r="A38" s="79">
        <v>31</v>
      </c>
      <c r="B38" s="80" t="s">
        <v>301</v>
      </c>
      <c r="C38" s="29">
        <v>0</v>
      </c>
      <c r="D38" s="29">
        <v>0</v>
      </c>
      <c r="E38" s="29">
        <v>0</v>
      </c>
      <c r="F38" s="29">
        <v>0</v>
      </c>
      <c r="G38" s="269">
        <v>0</v>
      </c>
      <c r="H38" s="29">
        <v>0</v>
      </c>
      <c r="I38" s="29">
        <v>0</v>
      </c>
      <c r="J38" s="29">
        <v>0</v>
      </c>
      <c r="K38" s="29">
        <v>0</v>
      </c>
      <c r="L38" s="269">
        <v>0</v>
      </c>
      <c r="M38" s="29">
        <v>0</v>
      </c>
      <c r="N38" s="29">
        <v>0</v>
      </c>
      <c r="O38" s="29">
        <v>0</v>
      </c>
      <c r="P38" s="29">
        <v>0</v>
      </c>
      <c r="Q38" s="269">
        <v>0</v>
      </c>
      <c r="R38" s="29">
        <v>0</v>
      </c>
      <c r="S38" s="29">
        <v>0</v>
      </c>
      <c r="T38" s="29">
        <f>'Weaker Sec_7'!G38</f>
        <v>0</v>
      </c>
      <c r="U38" s="29">
        <f>'Weaker Sec_7'!H38</f>
        <v>0</v>
      </c>
      <c r="V38" s="269">
        <v>0</v>
      </c>
    </row>
    <row r="39" spans="1:22" ht="13.5">
      <c r="A39" s="79">
        <v>32</v>
      </c>
      <c r="B39" s="80" t="s">
        <v>302</v>
      </c>
      <c r="C39" s="29">
        <v>0</v>
      </c>
      <c r="D39" s="29">
        <v>0</v>
      </c>
      <c r="E39" s="29">
        <v>0</v>
      </c>
      <c r="F39" s="29">
        <v>0</v>
      </c>
      <c r="G39" s="269">
        <v>0</v>
      </c>
      <c r="H39" s="29">
        <v>0</v>
      </c>
      <c r="I39" s="29">
        <v>0</v>
      </c>
      <c r="J39" s="29">
        <v>0</v>
      </c>
      <c r="K39" s="29">
        <v>0</v>
      </c>
      <c r="L39" s="269">
        <v>0</v>
      </c>
      <c r="M39" s="29">
        <v>0</v>
      </c>
      <c r="N39" s="29">
        <v>0</v>
      </c>
      <c r="O39" s="29">
        <v>0</v>
      </c>
      <c r="P39" s="29">
        <v>0</v>
      </c>
      <c r="Q39" s="269">
        <v>0</v>
      </c>
      <c r="R39" s="29">
        <v>0</v>
      </c>
      <c r="S39" s="29">
        <v>0</v>
      </c>
      <c r="T39" s="29">
        <f>'Weaker Sec_7'!G39</f>
        <v>0</v>
      </c>
      <c r="U39" s="29">
        <f>'Weaker Sec_7'!H39</f>
        <v>0</v>
      </c>
      <c r="V39" s="269">
        <v>0</v>
      </c>
    </row>
    <row r="40" spans="1:22" ht="13.5">
      <c r="A40" s="79">
        <v>33</v>
      </c>
      <c r="B40" s="80" t="s">
        <v>303</v>
      </c>
      <c r="C40" s="29">
        <v>3</v>
      </c>
      <c r="D40" s="29">
        <v>2</v>
      </c>
      <c r="E40" s="29">
        <v>61</v>
      </c>
      <c r="F40" s="29">
        <v>68</v>
      </c>
      <c r="G40" s="269">
        <f t="shared" si="0"/>
        <v>2.9411764705882355</v>
      </c>
      <c r="H40" s="29">
        <v>0</v>
      </c>
      <c r="I40" s="29">
        <v>0</v>
      </c>
      <c r="J40" s="29">
        <v>0</v>
      </c>
      <c r="K40" s="29">
        <v>0</v>
      </c>
      <c r="L40" s="269">
        <v>0</v>
      </c>
      <c r="M40" s="29">
        <v>0</v>
      </c>
      <c r="N40" s="29">
        <v>0</v>
      </c>
      <c r="O40" s="29">
        <v>0</v>
      </c>
      <c r="P40" s="29">
        <v>0</v>
      </c>
      <c r="Q40" s="269">
        <v>0</v>
      </c>
      <c r="R40" s="29">
        <v>0</v>
      </c>
      <c r="S40" s="29">
        <v>0</v>
      </c>
      <c r="T40" s="29">
        <f>'Weaker Sec_7'!G40</f>
        <v>2954</v>
      </c>
      <c r="U40" s="29">
        <f>'Weaker Sec_7'!H40</f>
        <v>887.1643605999996</v>
      </c>
      <c r="V40" s="269">
        <f t="shared" si="2"/>
        <v>0</v>
      </c>
    </row>
    <row r="41" spans="1:22" ht="13.5">
      <c r="A41" s="79">
        <v>34</v>
      </c>
      <c r="B41" s="80" t="s">
        <v>304</v>
      </c>
      <c r="C41" s="29">
        <v>0</v>
      </c>
      <c r="D41" s="29">
        <v>0</v>
      </c>
      <c r="E41" s="29">
        <v>0</v>
      </c>
      <c r="F41" s="29">
        <v>0</v>
      </c>
      <c r="G41" s="269">
        <v>0</v>
      </c>
      <c r="H41" s="29">
        <v>0</v>
      </c>
      <c r="I41" s="29">
        <v>0</v>
      </c>
      <c r="J41" s="29">
        <v>0</v>
      </c>
      <c r="K41" s="29">
        <v>0</v>
      </c>
      <c r="L41" s="269">
        <v>0</v>
      </c>
      <c r="M41" s="29">
        <v>0</v>
      </c>
      <c r="N41" s="29">
        <v>0</v>
      </c>
      <c r="O41" s="29">
        <v>0</v>
      </c>
      <c r="P41" s="29">
        <v>0</v>
      </c>
      <c r="Q41" s="269">
        <v>0</v>
      </c>
      <c r="R41" s="29">
        <v>404.885</v>
      </c>
      <c r="S41" s="29">
        <v>254.2410633945</v>
      </c>
      <c r="T41" s="29">
        <f>'Weaker Sec_7'!G41</f>
        <v>6229</v>
      </c>
      <c r="U41" s="29">
        <f>'Weaker Sec_7'!H41</f>
        <v>3911.4009753</v>
      </c>
      <c r="V41" s="269">
        <f>S41*100/U41</f>
        <v>6.5</v>
      </c>
    </row>
    <row r="42" spans="1:22" ht="13.5">
      <c r="A42" s="79">
        <v>35</v>
      </c>
      <c r="B42" s="80" t="s">
        <v>305</v>
      </c>
      <c r="C42" s="29">
        <v>0</v>
      </c>
      <c r="D42" s="29">
        <v>0</v>
      </c>
      <c r="E42" s="29">
        <v>0</v>
      </c>
      <c r="F42" s="29">
        <v>0</v>
      </c>
      <c r="G42" s="269">
        <v>0</v>
      </c>
      <c r="H42" s="29">
        <v>0</v>
      </c>
      <c r="I42" s="29">
        <v>0</v>
      </c>
      <c r="J42" s="29">
        <v>0</v>
      </c>
      <c r="K42" s="29">
        <v>0</v>
      </c>
      <c r="L42" s="269">
        <v>0</v>
      </c>
      <c r="M42" s="29">
        <v>0</v>
      </c>
      <c r="N42" s="29">
        <v>0</v>
      </c>
      <c r="O42" s="29">
        <v>0</v>
      </c>
      <c r="P42" s="29">
        <v>0</v>
      </c>
      <c r="Q42" s="269">
        <v>0</v>
      </c>
      <c r="R42" s="29">
        <v>0</v>
      </c>
      <c r="S42" s="29">
        <v>0</v>
      </c>
      <c r="T42" s="29">
        <f>'Weaker Sec_7'!G42</f>
        <v>0</v>
      </c>
      <c r="U42" s="29">
        <f>'Weaker Sec_7'!H42</f>
        <v>0</v>
      </c>
      <c r="V42" s="269">
        <v>0</v>
      </c>
    </row>
    <row r="43" spans="1:22" ht="13.5">
      <c r="A43" s="79">
        <v>36</v>
      </c>
      <c r="B43" s="80" t="s">
        <v>255</v>
      </c>
      <c r="C43" s="29">
        <v>0</v>
      </c>
      <c r="D43" s="29">
        <v>0</v>
      </c>
      <c r="E43" s="29">
        <v>0</v>
      </c>
      <c r="F43" s="29">
        <v>0</v>
      </c>
      <c r="G43" s="269">
        <v>0</v>
      </c>
      <c r="H43" s="29">
        <v>0</v>
      </c>
      <c r="I43" s="29">
        <v>0</v>
      </c>
      <c r="J43" s="29">
        <v>0</v>
      </c>
      <c r="K43" s="29">
        <v>0</v>
      </c>
      <c r="L43" s="269">
        <v>0</v>
      </c>
      <c r="M43" s="29">
        <v>0</v>
      </c>
      <c r="N43" s="29">
        <v>0</v>
      </c>
      <c r="O43" s="29">
        <v>0</v>
      </c>
      <c r="P43" s="29">
        <v>0</v>
      </c>
      <c r="Q43" s="269">
        <v>0</v>
      </c>
      <c r="R43" s="29">
        <v>0</v>
      </c>
      <c r="S43" s="29">
        <v>0</v>
      </c>
      <c r="T43" s="29">
        <f>'Weaker Sec_7'!G43</f>
        <v>0</v>
      </c>
      <c r="U43" s="29">
        <f>'Weaker Sec_7'!H43</f>
        <v>0</v>
      </c>
      <c r="V43" s="269">
        <v>0</v>
      </c>
    </row>
    <row r="44" spans="1:22" ht="13.5">
      <c r="A44" s="79">
        <v>37</v>
      </c>
      <c r="B44" s="80" t="s">
        <v>306</v>
      </c>
      <c r="C44" s="29">
        <v>0</v>
      </c>
      <c r="D44" s="29">
        <v>0</v>
      </c>
      <c r="E44" s="29">
        <v>0</v>
      </c>
      <c r="F44" s="29">
        <v>0</v>
      </c>
      <c r="G44" s="269">
        <v>0</v>
      </c>
      <c r="H44" s="29">
        <v>0</v>
      </c>
      <c r="I44" s="29">
        <v>0</v>
      </c>
      <c r="J44" s="29">
        <v>0</v>
      </c>
      <c r="K44" s="29">
        <v>0</v>
      </c>
      <c r="L44" s="269">
        <v>0</v>
      </c>
      <c r="M44" s="29">
        <v>0</v>
      </c>
      <c r="N44" s="29">
        <v>0</v>
      </c>
      <c r="O44" s="29">
        <v>0</v>
      </c>
      <c r="P44" s="29">
        <v>0</v>
      </c>
      <c r="Q44" s="269">
        <v>0</v>
      </c>
      <c r="R44" s="29">
        <v>0</v>
      </c>
      <c r="S44" s="29">
        <v>0</v>
      </c>
      <c r="T44" s="29">
        <f>'Weaker Sec_7'!G44</f>
        <v>0</v>
      </c>
      <c r="U44" s="29">
        <f>'Weaker Sec_7'!H44</f>
        <v>0</v>
      </c>
      <c r="V44" s="269">
        <v>0</v>
      </c>
    </row>
    <row r="45" spans="1:22" ht="13.5">
      <c r="A45" s="79">
        <v>38</v>
      </c>
      <c r="B45" s="80" t="s">
        <v>307</v>
      </c>
      <c r="C45" s="29">
        <v>0</v>
      </c>
      <c r="D45" s="29">
        <v>0</v>
      </c>
      <c r="E45" s="29">
        <v>0</v>
      </c>
      <c r="F45" s="29">
        <v>0</v>
      </c>
      <c r="G45" s="269">
        <v>0</v>
      </c>
      <c r="H45" s="29">
        <v>0</v>
      </c>
      <c r="I45" s="29">
        <v>0</v>
      </c>
      <c r="J45" s="29">
        <v>0</v>
      </c>
      <c r="K45" s="29">
        <v>0</v>
      </c>
      <c r="L45" s="269">
        <v>0</v>
      </c>
      <c r="M45" s="29">
        <v>0</v>
      </c>
      <c r="N45" s="29">
        <v>0</v>
      </c>
      <c r="O45" s="29">
        <v>0</v>
      </c>
      <c r="P45" s="29">
        <v>0</v>
      </c>
      <c r="Q45" s="269">
        <v>0</v>
      </c>
      <c r="R45" s="29">
        <v>0</v>
      </c>
      <c r="S45" s="29">
        <v>0</v>
      </c>
      <c r="T45" s="29">
        <f>'Weaker Sec_7'!G45</f>
        <v>0</v>
      </c>
      <c r="U45" s="29">
        <f>'Weaker Sec_7'!H45</f>
        <v>0</v>
      </c>
      <c r="V45" s="269">
        <v>0</v>
      </c>
    </row>
    <row r="46" spans="1:22" ht="13.5">
      <c r="A46" s="79">
        <v>39</v>
      </c>
      <c r="B46" s="80" t="s">
        <v>95</v>
      </c>
      <c r="C46" s="29">
        <v>0</v>
      </c>
      <c r="D46" s="29">
        <v>0</v>
      </c>
      <c r="E46" s="29">
        <v>0</v>
      </c>
      <c r="F46" s="29">
        <v>0</v>
      </c>
      <c r="G46" s="269">
        <v>0</v>
      </c>
      <c r="H46" s="29">
        <v>0</v>
      </c>
      <c r="I46" s="29">
        <v>0</v>
      </c>
      <c r="J46" s="29">
        <v>0</v>
      </c>
      <c r="K46" s="29">
        <v>0</v>
      </c>
      <c r="L46" s="269">
        <v>0</v>
      </c>
      <c r="M46" s="29">
        <v>0</v>
      </c>
      <c r="N46" s="29">
        <v>0</v>
      </c>
      <c r="O46" s="29">
        <v>0</v>
      </c>
      <c r="P46" s="29">
        <v>0</v>
      </c>
      <c r="Q46" s="269">
        <v>0</v>
      </c>
      <c r="R46" s="29">
        <v>0</v>
      </c>
      <c r="S46" s="29">
        <v>0</v>
      </c>
      <c r="T46" s="29">
        <f>'Weaker Sec_7'!G46</f>
        <v>0</v>
      </c>
      <c r="U46" s="29">
        <f>'Weaker Sec_7'!H46</f>
        <v>0</v>
      </c>
      <c r="V46" s="269">
        <v>0</v>
      </c>
    </row>
    <row r="47" spans="1:22" ht="13.5">
      <c r="A47" s="79">
        <v>40</v>
      </c>
      <c r="B47" s="80" t="s">
        <v>308</v>
      </c>
      <c r="C47" s="29">
        <v>0</v>
      </c>
      <c r="D47" s="29">
        <v>0</v>
      </c>
      <c r="E47" s="29">
        <v>0</v>
      </c>
      <c r="F47" s="29">
        <v>0</v>
      </c>
      <c r="G47" s="269">
        <v>0</v>
      </c>
      <c r="H47" s="29">
        <v>0</v>
      </c>
      <c r="I47" s="29">
        <v>0</v>
      </c>
      <c r="J47" s="29">
        <v>0</v>
      </c>
      <c r="K47" s="29">
        <v>0</v>
      </c>
      <c r="L47" s="269">
        <v>0</v>
      </c>
      <c r="M47" s="29">
        <v>0</v>
      </c>
      <c r="N47" s="29">
        <v>0</v>
      </c>
      <c r="O47" s="29">
        <v>0</v>
      </c>
      <c r="P47" s="29">
        <v>0</v>
      </c>
      <c r="Q47" s="269">
        <v>0</v>
      </c>
      <c r="R47" s="29">
        <v>0</v>
      </c>
      <c r="S47" s="29">
        <v>0</v>
      </c>
      <c r="T47" s="29">
        <f>'Weaker Sec_7'!G47</f>
        <v>0</v>
      </c>
      <c r="U47" s="29">
        <f>'Weaker Sec_7'!H47</f>
        <v>0</v>
      </c>
      <c r="V47" s="269">
        <v>0</v>
      </c>
    </row>
    <row r="48" spans="1:22" ht="13.5">
      <c r="A48" s="79">
        <v>41</v>
      </c>
      <c r="B48" s="80" t="s">
        <v>309</v>
      </c>
      <c r="C48" s="29">
        <v>0</v>
      </c>
      <c r="D48" s="29">
        <v>0</v>
      </c>
      <c r="E48" s="29">
        <v>0</v>
      </c>
      <c r="F48" s="29">
        <v>0</v>
      </c>
      <c r="G48" s="269">
        <v>0</v>
      </c>
      <c r="H48" s="29">
        <v>0</v>
      </c>
      <c r="I48" s="29">
        <v>0</v>
      </c>
      <c r="J48" s="29">
        <v>0</v>
      </c>
      <c r="K48" s="29">
        <v>0</v>
      </c>
      <c r="L48" s="269">
        <v>0</v>
      </c>
      <c r="M48" s="29">
        <v>0</v>
      </c>
      <c r="N48" s="29">
        <v>0</v>
      </c>
      <c r="O48" s="29">
        <v>0</v>
      </c>
      <c r="P48" s="29">
        <v>0</v>
      </c>
      <c r="Q48" s="269">
        <v>0</v>
      </c>
      <c r="R48" s="29">
        <v>0</v>
      </c>
      <c r="S48" s="29">
        <v>0</v>
      </c>
      <c r="T48" s="29">
        <f>'Weaker Sec_7'!G48</f>
        <v>0</v>
      </c>
      <c r="U48" s="29">
        <f>'Weaker Sec_7'!H48</f>
        <v>0</v>
      </c>
      <c r="V48" s="269">
        <v>0</v>
      </c>
    </row>
    <row r="49" spans="1:22" ht="13.5">
      <c r="A49" s="79">
        <v>42</v>
      </c>
      <c r="B49" s="80" t="s">
        <v>310</v>
      </c>
      <c r="C49" s="29">
        <v>0</v>
      </c>
      <c r="D49" s="29">
        <v>0</v>
      </c>
      <c r="E49" s="29">
        <v>0</v>
      </c>
      <c r="F49" s="29">
        <v>0</v>
      </c>
      <c r="G49" s="269">
        <v>0</v>
      </c>
      <c r="H49" s="29">
        <v>0</v>
      </c>
      <c r="I49" s="29">
        <v>0</v>
      </c>
      <c r="J49" s="29">
        <v>0</v>
      </c>
      <c r="K49" s="29">
        <v>0</v>
      </c>
      <c r="L49" s="269">
        <v>0</v>
      </c>
      <c r="M49" s="29">
        <v>0</v>
      </c>
      <c r="N49" s="29">
        <v>0</v>
      </c>
      <c r="O49" s="29">
        <v>0</v>
      </c>
      <c r="P49" s="29">
        <v>0</v>
      </c>
      <c r="Q49" s="269">
        <v>0</v>
      </c>
      <c r="R49" s="29">
        <v>0</v>
      </c>
      <c r="S49" s="29">
        <v>0</v>
      </c>
      <c r="T49" s="29">
        <f>'Weaker Sec_7'!G49</f>
        <v>0</v>
      </c>
      <c r="U49" s="29">
        <f>'Weaker Sec_7'!H49</f>
        <v>0</v>
      </c>
      <c r="V49" s="269">
        <v>0</v>
      </c>
    </row>
    <row r="50" spans="1:22" ht="13.5">
      <c r="A50" s="79">
        <v>43</v>
      </c>
      <c r="B50" s="80" t="s">
        <v>311</v>
      </c>
      <c r="C50" s="29">
        <v>0</v>
      </c>
      <c r="D50" s="29">
        <v>0</v>
      </c>
      <c r="E50" s="29">
        <v>0</v>
      </c>
      <c r="F50" s="29">
        <v>0</v>
      </c>
      <c r="G50" s="269">
        <v>0</v>
      </c>
      <c r="H50" s="29">
        <v>0</v>
      </c>
      <c r="I50" s="29">
        <v>0</v>
      </c>
      <c r="J50" s="29">
        <v>0</v>
      </c>
      <c r="K50" s="29">
        <v>0</v>
      </c>
      <c r="L50" s="269">
        <v>0</v>
      </c>
      <c r="M50" s="29">
        <v>0</v>
      </c>
      <c r="N50" s="29">
        <v>0</v>
      </c>
      <c r="O50" s="29">
        <v>0</v>
      </c>
      <c r="P50" s="29">
        <v>0</v>
      </c>
      <c r="Q50" s="269">
        <v>0</v>
      </c>
      <c r="R50" s="29">
        <v>0</v>
      </c>
      <c r="S50" s="29">
        <v>0</v>
      </c>
      <c r="T50" s="29">
        <f>'Weaker Sec_7'!G50</f>
        <v>0</v>
      </c>
      <c r="U50" s="29">
        <f>'Weaker Sec_7'!H50</f>
        <v>0</v>
      </c>
      <c r="V50" s="269">
        <v>0</v>
      </c>
    </row>
    <row r="51" spans="1:22" ht="13.5">
      <c r="A51" s="79">
        <v>44</v>
      </c>
      <c r="B51" s="80" t="s">
        <v>78</v>
      </c>
      <c r="C51" s="29">
        <v>0</v>
      </c>
      <c r="D51" s="29">
        <v>0</v>
      </c>
      <c r="E51" s="29">
        <v>0</v>
      </c>
      <c r="F51" s="29">
        <v>0</v>
      </c>
      <c r="G51" s="269">
        <v>0</v>
      </c>
      <c r="H51" s="29">
        <v>0</v>
      </c>
      <c r="I51" s="29">
        <v>0</v>
      </c>
      <c r="J51" s="29">
        <v>0</v>
      </c>
      <c r="K51" s="29">
        <v>0</v>
      </c>
      <c r="L51" s="269">
        <v>0</v>
      </c>
      <c r="M51" s="29">
        <v>0</v>
      </c>
      <c r="N51" s="29">
        <v>0</v>
      </c>
      <c r="O51" s="29">
        <v>0</v>
      </c>
      <c r="P51" s="29">
        <v>0</v>
      </c>
      <c r="Q51" s="269">
        <v>0</v>
      </c>
      <c r="R51" s="29">
        <v>0</v>
      </c>
      <c r="S51" s="29">
        <v>0</v>
      </c>
      <c r="T51" s="29">
        <f>'Weaker Sec_7'!G51</f>
        <v>0</v>
      </c>
      <c r="U51" s="29">
        <f>'Weaker Sec_7'!H51</f>
        <v>0</v>
      </c>
      <c r="V51" s="269">
        <v>0</v>
      </c>
    </row>
    <row r="52" spans="1:22" s="274" customFormat="1" ht="13.5">
      <c r="A52" s="82"/>
      <c r="B52" s="82" t="s">
        <v>274</v>
      </c>
      <c r="C52" s="271">
        <f>SUM(C35:C51)</f>
        <v>18</v>
      </c>
      <c r="D52" s="271">
        <f aca="true" t="shared" si="5" ref="D52:S52">SUM(D35:D51)</f>
        <v>11.73</v>
      </c>
      <c r="E52" s="271">
        <f t="shared" si="5"/>
        <v>132</v>
      </c>
      <c r="F52" s="271">
        <f t="shared" si="5"/>
        <v>263.71000000000004</v>
      </c>
      <c r="G52" s="272">
        <f t="shared" si="0"/>
        <v>4.4480679534336955</v>
      </c>
      <c r="H52" s="271">
        <f t="shared" si="5"/>
        <v>0</v>
      </c>
      <c r="I52" s="271">
        <f t="shared" si="5"/>
        <v>0</v>
      </c>
      <c r="J52" s="271">
        <f t="shared" si="5"/>
        <v>0</v>
      </c>
      <c r="K52" s="271">
        <f t="shared" si="5"/>
        <v>0</v>
      </c>
      <c r="L52" s="272">
        <v>0</v>
      </c>
      <c r="M52" s="271">
        <f t="shared" si="5"/>
        <v>0</v>
      </c>
      <c r="N52" s="271">
        <f t="shared" si="5"/>
        <v>0</v>
      </c>
      <c r="O52" s="271">
        <f t="shared" si="5"/>
        <v>0</v>
      </c>
      <c r="P52" s="271">
        <f t="shared" si="5"/>
        <v>0</v>
      </c>
      <c r="Q52" s="272">
        <v>0</v>
      </c>
      <c r="R52" s="271">
        <f t="shared" si="5"/>
        <v>404.885</v>
      </c>
      <c r="S52" s="271">
        <f t="shared" si="5"/>
        <v>254.2410633945</v>
      </c>
      <c r="T52" s="271">
        <f>SUM(T35:T51)</f>
        <v>9189</v>
      </c>
      <c r="U52" s="271">
        <f>SUM(U35:U51)</f>
        <v>4924.2753359</v>
      </c>
      <c r="V52" s="272">
        <f t="shared" si="2"/>
        <v>5.1630147798799495</v>
      </c>
    </row>
    <row r="53" spans="1:22" ht="13.5">
      <c r="A53" s="79">
        <v>45</v>
      </c>
      <c r="B53" s="80" t="s">
        <v>48</v>
      </c>
      <c r="C53" s="29">
        <v>474</v>
      </c>
      <c r="D53" s="29">
        <v>236</v>
      </c>
      <c r="E53" s="29">
        <v>2644</v>
      </c>
      <c r="F53" s="29">
        <v>2067</v>
      </c>
      <c r="G53" s="269">
        <f t="shared" si="0"/>
        <v>11.417513304305757</v>
      </c>
      <c r="H53" s="29">
        <v>346</v>
      </c>
      <c r="I53" s="29">
        <v>253</v>
      </c>
      <c r="J53" s="29">
        <v>954</v>
      </c>
      <c r="K53" s="29">
        <v>2239</v>
      </c>
      <c r="L53" s="269">
        <f t="shared" si="1"/>
        <v>11.299687360428763</v>
      </c>
      <c r="M53" s="29">
        <v>12658</v>
      </c>
      <c r="N53" s="29">
        <v>5392</v>
      </c>
      <c r="O53" s="29">
        <v>134230</v>
      </c>
      <c r="P53" s="29">
        <v>53145</v>
      </c>
      <c r="Q53" s="269">
        <f>N53*100/P53</f>
        <v>10.14582745319409</v>
      </c>
      <c r="R53" s="29">
        <v>3437</v>
      </c>
      <c r="S53" s="29">
        <v>1182</v>
      </c>
      <c r="T53" s="29">
        <f>'Weaker Sec_7'!G53</f>
        <v>11843</v>
      </c>
      <c r="U53" s="29">
        <f>'Weaker Sec_7'!H53</f>
        <v>2913</v>
      </c>
      <c r="V53" s="269">
        <f t="shared" si="2"/>
        <v>40.576725025746654</v>
      </c>
    </row>
    <row r="54" spans="1:22" ht="13.5">
      <c r="A54" s="79">
        <v>46</v>
      </c>
      <c r="B54" s="80" t="s">
        <v>269</v>
      </c>
      <c r="C54" s="29">
        <v>5329</v>
      </c>
      <c r="D54" s="29">
        <v>1722</v>
      </c>
      <c r="E54" s="29">
        <v>12137</v>
      </c>
      <c r="F54" s="29">
        <v>4449</v>
      </c>
      <c r="G54" s="269">
        <f t="shared" si="0"/>
        <v>38.70532703978422</v>
      </c>
      <c r="H54" s="29">
        <v>13</v>
      </c>
      <c r="I54" s="29">
        <v>6</v>
      </c>
      <c r="J54" s="29">
        <v>69</v>
      </c>
      <c r="K54" s="29">
        <v>146</v>
      </c>
      <c r="L54" s="269">
        <f t="shared" si="1"/>
        <v>4.109589041095891</v>
      </c>
      <c r="M54" s="29">
        <v>9143</v>
      </c>
      <c r="N54" s="29">
        <v>6466</v>
      </c>
      <c r="O54" s="29">
        <v>53482</v>
      </c>
      <c r="P54" s="29">
        <v>41365</v>
      </c>
      <c r="Q54" s="269">
        <f>N54*100/P54</f>
        <v>15.631572585519159</v>
      </c>
      <c r="R54" s="29">
        <v>4027</v>
      </c>
      <c r="S54" s="29">
        <v>1444</v>
      </c>
      <c r="T54" s="29">
        <f>'Weaker Sec_7'!G54</f>
        <v>8200</v>
      </c>
      <c r="U54" s="29">
        <f>'Weaker Sec_7'!H54</f>
        <v>3468</v>
      </c>
      <c r="V54" s="269">
        <f t="shared" si="2"/>
        <v>41.63783160322953</v>
      </c>
    </row>
    <row r="55" spans="1:22" ht="13.5">
      <c r="A55" s="79">
        <v>47</v>
      </c>
      <c r="B55" s="80" t="s">
        <v>54</v>
      </c>
      <c r="C55" s="29">
        <v>543</v>
      </c>
      <c r="D55" s="29">
        <v>330.1</v>
      </c>
      <c r="E55" s="29">
        <v>1858</v>
      </c>
      <c r="F55" s="29">
        <v>3378</v>
      </c>
      <c r="G55" s="269">
        <f t="shared" si="0"/>
        <v>9.77205447010065</v>
      </c>
      <c r="H55" s="29">
        <v>187</v>
      </c>
      <c r="I55" s="29">
        <v>687</v>
      </c>
      <c r="J55" s="29">
        <v>1622</v>
      </c>
      <c r="K55" s="29">
        <v>1142</v>
      </c>
      <c r="L55" s="269">
        <f t="shared" si="1"/>
        <v>60.15761821366024</v>
      </c>
      <c r="M55" s="29">
        <v>1467</v>
      </c>
      <c r="N55" s="29">
        <v>1047</v>
      </c>
      <c r="O55" s="29">
        <v>58087</v>
      </c>
      <c r="P55" s="29">
        <v>43796.08</v>
      </c>
      <c r="Q55" s="269">
        <f>N55*100/P55</f>
        <v>2.3906249143758984</v>
      </c>
      <c r="R55" s="29">
        <v>1265</v>
      </c>
      <c r="S55" s="29">
        <v>629</v>
      </c>
      <c r="T55" s="29">
        <f>'Weaker Sec_7'!G55</f>
        <v>17546</v>
      </c>
      <c r="U55" s="29">
        <f>'Weaker Sec_7'!H55</f>
        <v>15845.01</v>
      </c>
      <c r="V55" s="269">
        <f t="shared" si="2"/>
        <v>3.9697040266935772</v>
      </c>
    </row>
    <row r="56" spans="1:22" s="274" customFormat="1" ht="13.5">
      <c r="A56" s="82"/>
      <c r="B56" s="82" t="s">
        <v>270</v>
      </c>
      <c r="C56" s="271">
        <f>SUM(C53:C55)</f>
        <v>6346</v>
      </c>
      <c r="D56" s="271">
        <f aca="true" t="shared" si="6" ref="D56:S56">SUM(D53:D55)</f>
        <v>2288.1</v>
      </c>
      <c r="E56" s="271">
        <f t="shared" si="6"/>
        <v>16639</v>
      </c>
      <c r="F56" s="271">
        <f t="shared" si="6"/>
        <v>9894</v>
      </c>
      <c r="G56" s="272">
        <f t="shared" si="0"/>
        <v>23.126137052759248</v>
      </c>
      <c r="H56" s="271">
        <f t="shared" si="6"/>
        <v>546</v>
      </c>
      <c r="I56" s="271">
        <f t="shared" si="6"/>
        <v>946</v>
      </c>
      <c r="J56" s="271">
        <f t="shared" si="6"/>
        <v>2645</v>
      </c>
      <c r="K56" s="271">
        <f t="shared" si="6"/>
        <v>3527</v>
      </c>
      <c r="L56" s="272">
        <f t="shared" si="1"/>
        <v>26.821661468670257</v>
      </c>
      <c r="M56" s="271">
        <f t="shared" si="6"/>
        <v>23268</v>
      </c>
      <c r="N56" s="271">
        <f t="shared" si="6"/>
        <v>12905</v>
      </c>
      <c r="O56" s="271">
        <f t="shared" si="6"/>
        <v>245799</v>
      </c>
      <c r="P56" s="271">
        <f t="shared" si="6"/>
        <v>138306.08000000002</v>
      </c>
      <c r="Q56" s="272">
        <f>N56*100/P56</f>
        <v>9.330753933594242</v>
      </c>
      <c r="R56" s="271">
        <f t="shared" si="6"/>
        <v>8729</v>
      </c>
      <c r="S56" s="271">
        <f t="shared" si="6"/>
        <v>3255</v>
      </c>
      <c r="T56" s="271">
        <f>SUM(T53:T55)</f>
        <v>37589</v>
      </c>
      <c r="U56" s="271">
        <f>SUM(U53:U55)</f>
        <v>22226.010000000002</v>
      </c>
      <c r="V56" s="272">
        <f t="shared" si="2"/>
        <v>14.645003759109258</v>
      </c>
    </row>
    <row r="57" spans="1:22" ht="13.5">
      <c r="A57" s="79">
        <v>48</v>
      </c>
      <c r="B57" s="80" t="s">
        <v>312</v>
      </c>
      <c r="C57" s="29">
        <v>0</v>
      </c>
      <c r="D57" s="29">
        <v>0</v>
      </c>
      <c r="E57" s="29">
        <v>0</v>
      </c>
      <c r="F57" s="29">
        <v>0</v>
      </c>
      <c r="G57" s="269">
        <v>0</v>
      </c>
      <c r="H57" s="29">
        <v>0</v>
      </c>
      <c r="I57" s="29">
        <v>0</v>
      </c>
      <c r="J57" s="29">
        <v>0</v>
      </c>
      <c r="K57" s="29">
        <v>0</v>
      </c>
      <c r="L57" s="269">
        <v>0</v>
      </c>
      <c r="M57" s="29">
        <v>0</v>
      </c>
      <c r="N57" s="29">
        <v>0</v>
      </c>
      <c r="O57" s="29">
        <v>0</v>
      </c>
      <c r="P57" s="29">
        <v>0</v>
      </c>
      <c r="Q57" s="269">
        <v>0</v>
      </c>
      <c r="R57" s="29"/>
      <c r="S57" s="29">
        <v>1083</v>
      </c>
      <c r="T57" s="29"/>
      <c r="U57" s="29">
        <f>'Weaker Sec_7'!H57</f>
        <v>1083</v>
      </c>
      <c r="V57" s="269">
        <f t="shared" si="2"/>
        <v>100</v>
      </c>
    </row>
    <row r="58" spans="1:22" s="274" customFormat="1" ht="13.5">
      <c r="A58" s="82"/>
      <c r="B58" s="82" t="s">
        <v>275</v>
      </c>
      <c r="C58" s="271">
        <f>C57</f>
        <v>0</v>
      </c>
      <c r="D58" s="271">
        <f aca="true" t="shared" si="7" ref="D58:S58">D57</f>
        <v>0</v>
      </c>
      <c r="E58" s="271">
        <f t="shared" si="7"/>
        <v>0</v>
      </c>
      <c r="F58" s="271">
        <f t="shared" si="7"/>
        <v>0</v>
      </c>
      <c r="G58" s="272">
        <v>0</v>
      </c>
      <c r="H58" s="271">
        <f t="shared" si="7"/>
        <v>0</v>
      </c>
      <c r="I58" s="271">
        <f t="shared" si="7"/>
        <v>0</v>
      </c>
      <c r="J58" s="271">
        <f t="shared" si="7"/>
        <v>0</v>
      </c>
      <c r="K58" s="271">
        <f t="shared" si="7"/>
        <v>0</v>
      </c>
      <c r="L58" s="272">
        <v>0</v>
      </c>
      <c r="M58" s="271">
        <f t="shared" si="7"/>
        <v>0</v>
      </c>
      <c r="N58" s="271">
        <f t="shared" si="7"/>
        <v>0</v>
      </c>
      <c r="O58" s="271">
        <f t="shared" si="7"/>
        <v>0</v>
      </c>
      <c r="P58" s="271">
        <f t="shared" si="7"/>
        <v>0</v>
      </c>
      <c r="Q58" s="272">
        <v>0</v>
      </c>
      <c r="R58" s="271">
        <f t="shared" si="7"/>
        <v>0</v>
      </c>
      <c r="S58" s="271">
        <f t="shared" si="7"/>
        <v>1083</v>
      </c>
      <c r="T58" s="271">
        <f>T57</f>
        <v>0</v>
      </c>
      <c r="U58" s="271">
        <f>U57</f>
        <v>1083</v>
      </c>
      <c r="V58" s="272">
        <f t="shared" si="2"/>
        <v>100</v>
      </c>
    </row>
    <row r="59" spans="1:22" s="274" customFormat="1" ht="13.5">
      <c r="A59" s="82"/>
      <c r="B59" s="82" t="s">
        <v>276</v>
      </c>
      <c r="C59" s="271">
        <f>C58+C56+C52+C34+C27</f>
        <v>12746</v>
      </c>
      <c r="D59" s="271">
        <f aca="true" t="shared" si="8" ref="D59:S59">D58+D56+D52+D34+D27</f>
        <v>9969.8</v>
      </c>
      <c r="E59" s="271">
        <f t="shared" si="8"/>
        <v>77860</v>
      </c>
      <c r="F59" s="271">
        <f t="shared" si="8"/>
        <v>158408.41</v>
      </c>
      <c r="G59" s="272">
        <f t="shared" si="0"/>
        <v>6.293731500745445</v>
      </c>
      <c r="H59" s="271">
        <f t="shared" si="8"/>
        <v>2650</v>
      </c>
      <c r="I59" s="271">
        <f t="shared" si="8"/>
        <v>5654.4</v>
      </c>
      <c r="J59" s="271">
        <f t="shared" si="8"/>
        <v>15434</v>
      </c>
      <c r="K59" s="271">
        <f t="shared" si="8"/>
        <v>88587.738</v>
      </c>
      <c r="L59" s="272">
        <f t="shared" si="1"/>
        <v>6.382824674900267</v>
      </c>
      <c r="M59" s="271">
        <f t="shared" si="8"/>
        <v>51719</v>
      </c>
      <c r="N59" s="271">
        <f t="shared" si="8"/>
        <v>31723.168580999998</v>
      </c>
      <c r="O59" s="271">
        <f t="shared" si="8"/>
        <v>581034</v>
      </c>
      <c r="P59" s="271">
        <f t="shared" si="8"/>
        <v>384819.0217533</v>
      </c>
      <c r="Q59" s="272">
        <f>N59*100/P59</f>
        <v>8.243659171644875</v>
      </c>
      <c r="R59" s="271">
        <f t="shared" si="8"/>
        <v>12391.885</v>
      </c>
      <c r="S59" s="271">
        <f t="shared" si="8"/>
        <v>7824.4380633945</v>
      </c>
      <c r="T59" s="271">
        <f>T58+T56+T52+T34+T27</f>
        <v>76002</v>
      </c>
      <c r="U59" s="271">
        <f>U58+U56+U52+U34+U27</f>
        <v>54763.5353359</v>
      </c>
      <c r="V59" s="272">
        <f t="shared" si="2"/>
        <v>14.287678864051028</v>
      </c>
    </row>
  </sheetData>
  <sheetProtection/>
  <mergeCells count="19">
    <mergeCell ref="A4:A5"/>
    <mergeCell ref="B4:B5"/>
    <mergeCell ref="C4:D4"/>
    <mergeCell ref="G4:G5"/>
    <mergeCell ref="L4:L5"/>
    <mergeCell ref="R4:S4"/>
    <mergeCell ref="Q4:Q5"/>
    <mergeCell ref="J4:K4"/>
    <mergeCell ref="M4:N4"/>
    <mergeCell ref="T4:U4"/>
    <mergeCell ref="V4:V5"/>
    <mergeCell ref="J3:K3"/>
    <mergeCell ref="A1:V1"/>
    <mergeCell ref="A2:V2"/>
    <mergeCell ref="W6:X9"/>
    <mergeCell ref="N3:O3"/>
    <mergeCell ref="O4:P4"/>
    <mergeCell ref="E4:F4"/>
    <mergeCell ref="H4:I4"/>
  </mergeCells>
  <conditionalFormatting sqref="J3">
    <cfRule type="cellIs" priority="17" dxfId="198" operator="lessThan">
      <formula>0</formula>
    </cfRule>
  </conditionalFormatting>
  <conditionalFormatting sqref="P3">
    <cfRule type="cellIs" priority="16" dxfId="198" operator="lessThan">
      <formula>0</formula>
    </cfRule>
  </conditionalFormatting>
  <conditionalFormatting sqref="N3">
    <cfRule type="cellIs" priority="15" dxfId="198" operator="lessThan">
      <formula>0</formula>
    </cfRule>
  </conditionalFormatting>
  <conditionalFormatting sqref="B6">
    <cfRule type="duplicateValues" priority="9" dxfId="197">
      <formula>AND(COUNTIF($B$6:$B$6,B6)&gt;1,NOT(ISBLANK(B6)))</formula>
    </cfRule>
  </conditionalFormatting>
  <conditionalFormatting sqref="B22">
    <cfRule type="duplicateValues" priority="10" dxfId="197">
      <formula>AND(COUNTIF($B$22:$B$22,B22)&gt;1,NOT(ISBLANK(B22)))</formula>
    </cfRule>
  </conditionalFormatting>
  <conditionalFormatting sqref="B33:B34 B26:B30">
    <cfRule type="duplicateValues" priority="11" dxfId="197">
      <formula>AND(COUNTIF($B$33:$B$34,B26)+COUNTIF($B$26:$B$30,B26)&gt;1,NOT(ISBLANK(B26)))</formula>
    </cfRule>
  </conditionalFormatting>
  <conditionalFormatting sqref="B52">
    <cfRule type="duplicateValues" priority="12" dxfId="197">
      <formula>AND(COUNTIF($B$52:$B$52,B52)&gt;1,NOT(ISBLANK(B52)))</formula>
    </cfRule>
  </conditionalFormatting>
  <conditionalFormatting sqref="B56">
    <cfRule type="duplicateValues" priority="13" dxfId="197">
      <formula>AND(COUNTIF($B$56:$B$56,B56)&gt;1,NOT(ISBLANK(B56)))</formula>
    </cfRule>
  </conditionalFormatting>
  <conditionalFormatting sqref="B58">
    <cfRule type="duplicateValues" priority="14" dxfId="197">
      <formula>AND(COUNTIF($B$58:$B$58,B58)&gt;1,NOT(ISBLANK(B58)))</formula>
    </cfRule>
  </conditionalFormatting>
  <conditionalFormatting sqref="G1:G65536">
    <cfRule type="cellIs" priority="8" dxfId="198" operator="greaterThan" stopIfTrue="1">
      <formula>100</formula>
    </cfRule>
  </conditionalFormatting>
  <conditionalFormatting sqref="L1:L65536">
    <cfRule type="cellIs" priority="6" dxfId="198" operator="greaterThan" stopIfTrue="1">
      <formula>100</formula>
    </cfRule>
  </conditionalFormatting>
  <conditionalFormatting sqref="Q1:Q65536">
    <cfRule type="cellIs" priority="4" dxfId="198" operator="greaterThan" stopIfTrue="1">
      <formula>100</formula>
    </cfRule>
  </conditionalFormatting>
  <conditionalFormatting sqref="V1:V65536">
    <cfRule type="cellIs" priority="2" dxfId="198" operator="greaterThan" stopIfTrue="1">
      <formula>100</formula>
    </cfRule>
  </conditionalFormatting>
  <printOptions/>
  <pageMargins left="0.25" right="0.25" top="0.25" bottom="0.25" header="0.3" footer="0.3"/>
  <pageSetup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66"/>
  <sheetViews>
    <sheetView view="pageBreakPreview" zoomScaleSheetLayoutView="100" zoomScalePageLayoutView="0" workbookViewId="0" topLeftCell="A1">
      <pane xSplit="1" ySplit="5" topLeftCell="B51" activePane="bottomRight" state="frozen"/>
      <selection pane="topLeft" activeCell="C3" sqref="C3"/>
      <selection pane="topRight" activeCell="C3" sqref="C3"/>
      <selection pane="bottomLeft" activeCell="C3" sqref="C3"/>
      <selection pane="bottomRight" activeCell="L63" sqref="L63"/>
    </sheetView>
  </sheetViews>
  <sheetFormatPr defaultColWidth="9.140625" defaultRowHeight="12.75"/>
  <cols>
    <col min="1" max="1" width="5.421875" style="191" customWidth="1"/>
    <col min="2" max="2" width="21.7109375" style="190" customWidth="1"/>
    <col min="3" max="4" width="8.140625" style="186" customWidth="1"/>
    <col min="5" max="5" width="9.00390625" style="186" bestFit="1" customWidth="1"/>
    <col min="6" max="6" width="7.7109375" style="186" customWidth="1"/>
    <col min="7" max="7" width="9.7109375" style="186" customWidth="1"/>
    <col min="8" max="8" width="9.00390625" style="186" bestFit="1" customWidth="1"/>
    <col min="9" max="9" width="7.8515625" style="178" customWidth="1"/>
    <col min="10" max="10" width="7.28125" style="178" bestFit="1" customWidth="1"/>
    <col min="11" max="11" width="8.7109375" style="178" customWidth="1"/>
    <col min="12" max="16384" width="9.140625" style="190" customWidth="1"/>
  </cols>
  <sheetData>
    <row r="1" spans="1:11" ht="14.25" customHeight="1">
      <c r="A1" s="549" t="s">
        <v>326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1" ht="14.25">
      <c r="A2" s="545" t="s">
        <v>288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</row>
    <row r="3" spans="2:11" ht="14.25">
      <c r="B3" s="114" t="s">
        <v>12</v>
      </c>
      <c r="J3" s="555" t="s">
        <v>15</v>
      </c>
      <c r="K3" s="555"/>
    </row>
    <row r="4" spans="1:11" s="184" customFormat="1" ht="15" customHeight="1">
      <c r="A4" s="550" t="s">
        <v>2</v>
      </c>
      <c r="B4" s="550" t="s">
        <v>3</v>
      </c>
      <c r="C4" s="552" t="s">
        <v>8</v>
      </c>
      <c r="D4" s="552"/>
      <c r="E4" s="553"/>
      <c r="F4" s="554" t="s">
        <v>9</v>
      </c>
      <c r="G4" s="552"/>
      <c r="H4" s="553"/>
      <c r="I4" s="546" t="s">
        <v>10</v>
      </c>
      <c r="J4" s="547"/>
      <c r="K4" s="548"/>
    </row>
    <row r="5" spans="1:11" ht="25.5">
      <c r="A5" s="551"/>
      <c r="B5" s="551"/>
      <c r="C5" s="187" t="s">
        <v>4</v>
      </c>
      <c r="D5" s="188" t="s">
        <v>11</v>
      </c>
      <c r="E5" s="188" t="s">
        <v>6</v>
      </c>
      <c r="F5" s="188" t="s">
        <v>4</v>
      </c>
      <c r="G5" s="188" t="s">
        <v>11</v>
      </c>
      <c r="H5" s="188" t="s">
        <v>6</v>
      </c>
      <c r="I5" s="189" t="s">
        <v>4</v>
      </c>
      <c r="J5" s="189" t="s">
        <v>11</v>
      </c>
      <c r="K5" s="189" t="s">
        <v>6</v>
      </c>
    </row>
    <row r="6" spans="1:11" ht="13.5">
      <c r="A6" s="87">
        <v>1</v>
      </c>
      <c r="B6" s="88" t="s">
        <v>57</v>
      </c>
      <c r="C6" s="168">
        <v>281788</v>
      </c>
      <c r="D6" s="168">
        <v>140991</v>
      </c>
      <c r="E6" s="168">
        <v>554556</v>
      </c>
      <c r="F6" s="168">
        <v>174592.54</v>
      </c>
      <c r="G6" s="168">
        <v>195515.58000000002</v>
      </c>
      <c r="H6" s="168">
        <v>269513.4</v>
      </c>
      <c r="I6" s="169">
        <f>F6*100/C6</f>
        <v>61.95882720342953</v>
      </c>
      <c r="J6" s="169">
        <f aca="true" t="shared" si="0" ref="J6:K21">G6*100/D6</f>
        <v>138.67238334361767</v>
      </c>
      <c r="K6" s="169">
        <f t="shared" si="0"/>
        <v>48.59985285525718</v>
      </c>
    </row>
    <row r="7" spans="1:11" ht="13.5">
      <c r="A7" s="87">
        <v>2</v>
      </c>
      <c r="B7" s="88" t="s">
        <v>58</v>
      </c>
      <c r="C7" s="168">
        <v>0</v>
      </c>
      <c r="D7" s="168">
        <v>5615.28</v>
      </c>
      <c r="E7" s="168">
        <v>139311.34</v>
      </c>
      <c r="F7" s="168">
        <v>0</v>
      </c>
      <c r="G7" s="168">
        <v>4584.56</v>
      </c>
      <c r="H7" s="168">
        <v>42782.7</v>
      </c>
      <c r="I7" s="169">
        <v>0</v>
      </c>
      <c r="J7" s="169">
        <f t="shared" si="0"/>
        <v>81.64437036087249</v>
      </c>
      <c r="K7" s="169">
        <f t="shared" si="0"/>
        <v>30.710134580573268</v>
      </c>
    </row>
    <row r="8" spans="1:11" ht="13.5">
      <c r="A8" s="87">
        <v>3</v>
      </c>
      <c r="B8" s="88" t="s">
        <v>59</v>
      </c>
      <c r="C8" s="168">
        <v>41024</v>
      </c>
      <c r="D8" s="168">
        <v>165795</v>
      </c>
      <c r="E8" s="168">
        <f>607782-1701</f>
        <v>606081</v>
      </c>
      <c r="F8" s="168">
        <v>39350</v>
      </c>
      <c r="G8" s="168">
        <v>182945</v>
      </c>
      <c r="H8" s="168">
        <f>692035-22030</f>
        <v>670005</v>
      </c>
      <c r="I8" s="169">
        <f aca="true" t="shared" si="1" ref="I8:K63">F8*100/C8</f>
        <v>95.91946177847115</v>
      </c>
      <c r="J8" s="169">
        <f t="shared" si="0"/>
        <v>110.34409964112308</v>
      </c>
      <c r="K8" s="169">
        <f t="shared" si="0"/>
        <v>110.54710508991373</v>
      </c>
    </row>
    <row r="9" spans="1:11" ht="13.5">
      <c r="A9" s="87">
        <v>4</v>
      </c>
      <c r="B9" s="88" t="s">
        <v>60</v>
      </c>
      <c r="C9" s="168">
        <v>391236</v>
      </c>
      <c r="D9" s="168">
        <v>480521</v>
      </c>
      <c r="E9" s="168">
        <v>1086495</v>
      </c>
      <c r="F9" s="168">
        <v>570443</v>
      </c>
      <c r="G9" s="168">
        <v>413248</v>
      </c>
      <c r="H9" s="168">
        <v>657166</v>
      </c>
      <c r="I9" s="169">
        <f t="shared" si="1"/>
        <v>145.80534511139058</v>
      </c>
      <c r="J9" s="169">
        <f t="shared" si="0"/>
        <v>85.999987513553</v>
      </c>
      <c r="K9" s="169">
        <f t="shared" si="0"/>
        <v>60.48495391143079</v>
      </c>
    </row>
    <row r="10" spans="1:11" ht="13.5">
      <c r="A10" s="87">
        <v>5</v>
      </c>
      <c r="B10" s="88" t="s">
        <v>61</v>
      </c>
      <c r="C10" s="168">
        <v>130961</v>
      </c>
      <c r="D10" s="168">
        <v>108972</v>
      </c>
      <c r="E10" s="168">
        <v>276176</v>
      </c>
      <c r="F10" s="168">
        <v>121471</v>
      </c>
      <c r="G10" s="168">
        <v>62879</v>
      </c>
      <c r="H10" s="168">
        <v>183246</v>
      </c>
      <c r="I10" s="169">
        <f t="shared" si="1"/>
        <v>92.75356785607929</v>
      </c>
      <c r="J10" s="169">
        <f t="shared" si="0"/>
        <v>57.70197848988731</v>
      </c>
      <c r="K10" s="169">
        <f t="shared" si="0"/>
        <v>66.3511673715312</v>
      </c>
    </row>
    <row r="11" spans="1:11" ht="13.5">
      <c r="A11" s="87">
        <v>6</v>
      </c>
      <c r="B11" s="88" t="s">
        <v>70</v>
      </c>
      <c r="C11" s="168">
        <v>0</v>
      </c>
      <c r="D11" s="168">
        <v>0</v>
      </c>
      <c r="E11" s="168">
        <v>4018</v>
      </c>
      <c r="F11" s="168">
        <v>0</v>
      </c>
      <c r="G11" s="168">
        <v>0</v>
      </c>
      <c r="H11" s="168">
        <v>763</v>
      </c>
      <c r="I11" s="169">
        <v>0</v>
      </c>
      <c r="J11" s="169">
        <v>0</v>
      </c>
      <c r="K11" s="169">
        <f t="shared" si="0"/>
        <v>18.989547038327526</v>
      </c>
    </row>
    <row r="12" spans="1:11" ht="13.5">
      <c r="A12" s="87">
        <v>7</v>
      </c>
      <c r="B12" s="88" t="s">
        <v>62</v>
      </c>
      <c r="C12" s="168">
        <v>22346</v>
      </c>
      <c r="D12" s="168">
        <v>94278</v>
      </c>
      <c r="E12" s="168">
        <v>522786</v>
      </c>
      <c r="F12" s="168">
        <v>29033</v>
      </c>
      <c r="G12" s="168">
        <v>98614</v>
      </c>
      <c r="H12" s="168">
        <v>281017</v>
      </c>
      <c r="I12" s="169">
        <f t="shared" si="1"/>
        <v>129.92481875950952</v>
      </c>
      <c r="J12" s="169">
        <f t="shared" si="0"/>
        <v>104.59916417403848</v>
      </c>
      <c r="K12" s="169">
        <f t="shared" si="0"/>
        <v>53.75373479779489</v>
      </c>
    </row>
    <row r="13" spans="1:11" ht="13.5">
      <c r="A13" s="87">
        <v>8</v>
      </c>
      <c r="B13" s="88" t="s">
        <v>63</v>
      </c>
      <c r="C13" s="168">
        <v>495877</v>
      </c>
      <c r="D13" s="168">
        <v>617664</v>
      </c>
      <c r="E13" s="168">
        <v>1009771</v>
      </c>
      <c r="F13" s="168">
        <v>316788</v>
      </c>
      <c r="G13" s="168">
        <v>351263</v>
      </c>
      <c r="H13" s="168">
        <v>536469</v>
      </c>
      <c r="I13" s="169">
        <f t="shared" si="1"/>
        <v>63.8843906855934</v>
      </c>
      <c r="J13" s="169">
        <f t="shared" si="0"/>
        <v>56.86959252927158</v>
      </c>
      <c r="K13" s="169">
        <f t="shared" si="0"/>
        <v>53.127788379741546</v>
      </c>
    </row>
    <row r="14" spans="1:11" ht="13.5">
      <c r="A14" s="87">
        <v>9</v>
      </c>
      <c r="B14" s="88" t="s">
        <v>50</v>
      </c>
      <c r="C14" s="168">
        <v>6132.43</v>
      </c>
      <c r="D14" s="168">
        <v>10623</v>
      </c>
      <c r="E14" s="168">
        <v>140239</v>
      </c>
      <c r="F14" s="168">
        <v>5481.06</v>
      </c>
      <c r="G14" s="168">
        <v>16885</v>
      </c>
      <c r="H14" s="168">
        <v>256295</v>
      </c>
      <c r="I14" s="169">
        <f t="shared" si="1"/>
        <v>89.37827256079564</v>
      </c>
      <c r="J14" s="169">
        <f t="shared" si="0"/>
        <v>158.94756660077192</v>
      </c>
      <c r="K14" s="169">
        <f t="shared" si="0"/>
        <v>182.75586677029926</v>
      </c>
    </row>
    <row r="15" spans="1:11" ht="13.5">
      <c r="A15" s="87">
        <v>10</v>
      </c>
      <c r="B15" s="88" t="s">
        <v>51</v>
      </c>
      <c r="C15" s="168">
        <v>9439</v>
      </c>
      <c r="D15" s="168">
        <v>24135</v>
      </c>
      <c r="E15" s="168">
        <v>234142</v>
      </c>
      <c r="F15" s="168">
        <v>6137</v>
      </c>
      <c r="G15" s="168">
        <v>16653</v>
      </c>
      <c r="H15" s="168">
        <v>157111</v>
      </c>
      <c r="I15" s="169">
        <f t="shared" si="1"/>
        <v>65.01748066532471</v>
      </c>
      <c r="J15" s="169">
        <f t="shared" si="0"/>
        <v>68.99937849596023</v>
      </c>
      <c r="K15" s="169">
        <f t="shared" si="0"/>
        <v>67.10073374277148</v>
      </c>
    </row>
    <row r="16" spans="1:11" ht="13.5">
      <c r="A16" s="87">
        <v>11</v>
      </c>
      <c r="B16" s="88" t="s">
        <v>83</v>
      </c>
      <c r="C16" s="177">
        <v>2981</v>
      </c>
      <c r="D16" s="177">
        <v>72216</v>
      </c>
      <c r="E16" s="177">
        <v>497948</v>
      </c>
      <c r="F16" s="177">
        <v>14019</v>
      </c>
      <c r="G16" s="177">
        <v>45059</v>
      </c>
      <c r="H16" s="185">
        <v>341449</v>
      </c>
      <c r="I16" s="169">
        <f t="shared" si="1"/>
        <v>470.27843005702783</v>
      </c>
      <c r="J16" s="169">
        <f t="shared" si="0"/>
        <v>62.39476016395259</v>
      </c>
      <c r="K16" s="169">
        <f t="shared" si="0"/>
        <v>68.57121627157856</v>
      </c>
    </row>
    <row r="17" spans="1:11" ht="13.5">
      <c r="A17" s="87">
        <v>12</v>
      </c>
      <c r="B17" s="88" t="s">
        <v>64</v>
      </c>
      <c r="C17" s="168">
        <v>0</v>
      </c>
      <c r="D17" s="168">
        <v>6453.67</v>
      </c>
      <c r="E17" s="168">
        <v>72257.18</v>
      </c>
      <c r="F17" s="168">
        <v>0</v>
      </c>
      <c r="G17" s="168">
        <v>3524.37</v>
      </c>
      <c r="H17" s="168">
        <v>66160.54</v>
      </c>
      <c r="I17" s="169">
        <v>0</v>
      </c>
      <c r="J17" s="169">
        <f t="shared" si="0"/>
        <v>54.610322498671295</v>
      </c>
      <c r="K17" s="169">
        <f t="shared" si="0"/>
        <v>91.56258243125458</v>
      </c>
    </row>
    <row r="18" spans="1:11" ht="13.5">
      <c r="A18" s="87">
        <v>13</v>
      </c>
      <c r="B18" s="88" t="s">
        <v>65</v>
      </c>
      <c r="C18" s="177">
        <v>7592</v>
      </c>
      <c r="D18" s="177">
        <v>11879</v>
      </c>
      <c r="E18" s="177">
        <v>155196</v>
      </c>
      <c r="F18" s="177">
        <v>5160</v>
      </c>
      <c r="G18" s="177">
        <v>7869</v>
      </c>
      <c r="H18" s="185">
        <f>82125-180</f>
        <v>81945</v>
      </c>
      <c r="I18" s="169">
        <f t="shared" si="1"/>
        <v>67.96628029504741</v>
      </c>
      <c r="J18" s="169">
        <f t="shared" si="0"/>
        <v>66.24294974324438</v>
      </c>
      <c r="K18" s="169">
        <f t="shared" si="0"/>
        <v>52.80097425191371</v>
      </c>
    </row>
    <row r="19" spans="1:11" ht="13.5">
      <c r="A19" s="87">
        <v>14</v>
      </c>
      <c r="B19" s="88" t="s">
        <v>286</v>
      </c>
      <c r="C19" s="177">
        <v>5766</v>
      </c>
      <c r="D19" s="177">
        <v>50840</v>
      </c>
      <c r="E19" s="177">
        <v>388113</v>
      </c>
      <c r="F19" s="177">
        <v>5151</v>
      </c>
      <c r="G19" s="177">
        <v>37323</v>
      </c>
      <c r="H19" s="185">
        <v>170525</v>
      </c>
      <c r="I19" s="169">
        <f t="shared" si="1"/>
        <v>89.33402705515088</v>
      </c>
      <c r="J19" s="169">
        <f t="shared" si="0"/>
        <v>73.41266719118804</v>
      </c>
      <c r="K19" s="169">
        <f t="shared" si="0"/>
        <v>43.93694619865864</v>
      </c>
    </row>
    <row r="20" spans="1:11" ht="13.5">
      <c r="A20" s="87">
        <v>15</v>
      </c>
      <c r="B20" s="88" t="s">
        <v>85</v>
      </c>
      <c r="C20" s="168">
        <v>8296</v>
      </c>
      <c r="D20" s="168">
        <v>30092</v>
      </c>
      <c r="E20" s="168">
        <v>97974</v>
      </c>
      <c r="F20" s="168">
        <v>5418</v>
      </c>
      <c r="G20" s="168">
        <v>13330</v>
      </c>
      <c r="H20" s="168">
        <v>44819</v>
      </c>
      <c r="I20" s="169">
        <f t="shared" si="1"/>
        <v>65.30858244937319</v>
      </c>
      <c r="J20" s="169">
        <f t="shared" si="0"/>
        <v>44.29748770437325</v>
      </c>
      <c r="K20" s="169">
        <f t="shared" si="0"/>
        <v>45.74581011288709</v>
      </c>
    </row>
    <row r="21" spans="1:11" ht="13.5">
      <c r="A21" s="87">
        <v>16</v>
      </c>
      <c r="B21" s="88" t="s">
        <v>66</v>
      </c>
      <c r="C21" s="168">
        <v>141887</v>
      </c>
      <c r="D21" s="168">
        <v>314188</v>
      </c>
      <c r="E21" s="168">
        <v>1322846</v>
      </c>
      <c r="F21" s="168">
        <v>151451</v>
      </c>
      <c r="G21" s="168">
        <v>175958</v>
      </c>
      <c r="H21" s="168">
        <v>972541</v>
      </c>
      <c r="I21" s="169">
        <f t="shared" si="1"/>
        <v>106.74057524649898</v>
      </c>
      <c r="J21" s="169">
        <f t="shared" si="0"/>
        <v>56.004048531452504</v>
      </c>
      <c r="K21" s="169">
        <f t="shared" si="0"/>
        <v>73.51883741569313</v>
      </c>
    </row>
    <row r="22" spans="1:11" ht="13.5">
      <c r="A22" s="87">
        <v>17</v>
      </c>
      <c r="B22" s="88" t="s">
        <v>89</v>
      </c>
      <c r="C22" s="168">
        <v>0</v>
      </c>
      <c r="D22" s="168">
        <v>0</v>
      </c>
      <c r="E22" s="168">
        <f>'CD Ratio_3(i)'!D22</f>
        <v>58579</v>
      </c>
      <c r="F22" s="168">
        <v>0</v>
      </c>
      <c r="G22" s="168">
        <v>0</v>
      </c>
      <c r="H22" s="168">
        <f>'CD Ratio_3(i)'!F22</f>
        <v>81765</v>
      </c>
      <c r="I22" s="169">
        <v>0</v>
      </c>
      <c r="J22" s="169">
        <v>0</v>
      </c>
      <c r="K22" s="169">
        <f t="shared" si="1"/>
        <v>139.5807371242254</v>
      </c>
    </row>
    <row r="23" spans="1:11" ht="13.5">
      <c r="A23" s="87">
        <v>18</v>
      </c>
      <c r="B23" s="88" t="s">
        <v>71</v>
      </c>
      <c r="C23" s="168">
        <v>0</v>
      </c>
      <c r="D23" s="168">
        <v>0</v>
      </c>
      <c r="E23" s="168">
        <f>'CD Ratio_3(i)'!D23</f>
        <v>32137</v>
      </c>
      <c r="F23" s="168">
        <v>0</v>
      </c>
      <c r="G23" s="168">
        <v>0</v>
      </c>
      <c r="H23" s="168">
        <f>'CD Ratio_3(i)'!F23</f>
        <v>34809</v>
      </c>
      <c r="I23" s="169">
        <v>0</v>
      </c>
      <c r="J23" s="169">
        <v>0</v>
      </c>
      <c r="K23" s="169">
        <f t="shared" si="1"/>
        <v>108.31440395805458</v>
      </c>
    </row>
    <row r="24" spans="1:11" ht="13.5">
      <c r="A24" s="87">
        <v>19</v>
      </c>
      <c r="B24" s="88" t="s">
        <v>86</v>
      </c>
      <c r="C24" s="168">
        <v>0</v>
      </c>
      <c r="D24" s="168">
        <v>0</v>
      </c>
      <c r="E24" s="168">
        <v>18258</v>
      </c>
      <c r="F24" s="168">
        <v>0</v>
      </c>
      <c r="G24" s="168">
        <v>0</v>
      </c>
      <c r="H24" s="168">
        <v>61150</v>
      </c>
      <c r="I24" s="169">
        <v>0</v>
      </c>
      <c r="J24" s="169">
        <v>0</v>
      </c>
      <c r="K24" s="169">
        <f t="shared" si="1"/>
        <v>334.9216781684741</v>
      </c>
    </row>
    <row r="25" spans="1:11" ht="13.5">
      <c r="A25" s="87">
        <v>20</v>
      </c>
      <c r="B25" s="88" t="s">
        <v>87</v>
      </c>
      <c r="C25" s="168">
        <v>0</v>
      </c>
      <c r="D25" s="168">
        <v>0</v>
      </c>
      <c r="E25" s="168">
        <f>'CD Ratio_3(i)'!D25</f>
        <v>52389</v>
      </c>
      <c r="F25" s="168">
        <v>0</v>
      </c>
      <c r="G25" s="168">
        <v>0</v>
      </c>
      <c r="H25" s="168">
        <f>'CD Ratio_3(i)'!F25</f>
        <v>97032</v>
      </c>
      <c r="I25" s="169">
        <v>0</v>
      </c>
      <c r="J25" s="169">
        <v>0</v>
      </c>
      <c r="K25" s="169">
        <f t="shared" si="1"/>
        <v>185.2144534157934</v>
      </c>
    </row>
    <row r="26" spans="1:11" ht="13.5">
      <c r="A26" s="87">
        <v>21</v>
      </c>
      <c r="B26" s="88" t="s">
        <v>88</v>
      </c>
      <c r="C26" s="168">
        <v>0</v>
      </c>
      <c r="D26" s="168">
        <v>0</v>
      </c>
      <c r="E26" s="168">
        <f>'CD Ratio_3(i)'!D26</f>
        <v>14425</v>
      </c>
      <c r="F26" s="168">
        <v>0</v>
      </c>
      <c r="G26" s="168">
        <v>0</v>
      </c>
      <c r="H26" s="168">
        <f>'CD Ratio_3(i)'!F26</f>
        <v>7917</v>
      </c>
      <c r="I26" s="169">
        <v>0</v>
      </c>
      <c r="J26" s="169">
        <v>0</v>
      </c>
      <c r="K26" s="169">
        <f t="shared" si="1"/>
        <v>54.88388214904679</v>
      </c>
    </row>
    <row r="27" spans="1:11" ht="13.5">
      <c r="A27" s="87">
        <v>22</v>
      </c>
      <c r="B27" s="88" t="s">
        <v>72</v>
      </c>
      <c r="C27" s="168">
        <v>793186</v>
      </c>
      <c r="D27" s="168">
        <v>2556969</v>
      </c>
      <c r="E27" s="168">
        <v>5668956</v>
      </c>
      <c r="F27" s="168">
        <v>617537</v>
      </c>
      <c r="G27" s="168">
        <v>1757846</v>
      </c>
      <c r="H27" s="168">
        <v>3264995</v>
      </c>
      <c r="I27" s="169">
        <f t="shared" si="1"/>
        <v>77.85525715279897</v>
      </c>
      <c r="J27" s="169">
        <f t="shared" si="1"/>
        <v>68.7472550508043</v>
      </c>
      <c r="K27" s="169">
        <f t="shared" si="1"/>
        <v>57.59429073007446</v>
      </c>
    </row>
    <row r="28" spans="1:11" ht="13.5">
      <c r="A28" s="87">
        <v>23</v>
      </c>
      <c r="B28" s="88" t="s">
        <v>67</v>
      </c>
      <c r="C28" s="168">
        <v>16521</v>
      </c>
      <c r="D28" s="168">
        <v>19405</v>
      </c>
      <c r="E28" s="168">
        <v>265526</v>
      </c>
      <c r="F28" s="168">
        <v>11204</v>
      </c>
      <c r="G28" s="168">
        <v>9604</v>
      </c>
      <c r="H28" s="168">
        <v>118794</v>
      </c>
      <c r="I28" s="169">
        <f t="shared" si="1"/>
        <v>67.81671811633679</v>
      </c>
      <c r="J28" s="169">
        <f t="shared" si="1"/>
        <v>49.49239886627158</v>
      </c>
      <c r="K28" s="169">
        <f t="shared" si="1"/>
        <v>44.7391215926124</v>
      </c>
    </row>
    <row r="29" spans="1:11" ht="13.5">
      <c r="A29" s="87">
        <v>24</v>
      </c>
      <c r="B29" s="88" t="s">
        <v>253</v>
      </c>
      <c r="C29" s="168">
        <v>96001</v>
      </c>
      <c r="D29" s="168">
        <v>90001</v>
      </c>
      <c r="E29" s="168">
        <v>414006</v>
      </c>
      <c r="F29" s="168">
        <v>73989</v>
      </c>
      <c r="G29" s="168">
        <v>65154</v>
      </c>
      <c r="H29" s="168">
        <v>302584</v>
      </c>
      <c r="I29" s="169">
        <f t="shared" si="1"/>
        <v>77.0710721763315</v>
      </c>
      <c r="J29" s="169">
        <f t="shared" si="1"/>
        <v>72.39252897190032</v>
      </c>
      <c r="K29" s="169">
        <f t="shared" si="1"/>
        <v>73.08686347540856</v>
      </c>
    </row>
    <row r="30" spans="1:11" ht="13.5">
      <c r="A30" s="87">
        <v>25</v>
      </c>
      <c r="B30" s="88" t="s">
        <v>68</v>
      </c>
      <c r="C30" s="168">
        <v>348766.23</v>
      </c>
      <c r="D30" s="168">
        <v>350563.77</v>
      </c>
      <c r="E30" s="168">
        <v>1284502.59</v>
      </c>
      <c r="F30" s="168">
        <v>137025.68</v>
      </c>
      <c r="G30" s="168">
        <v>158321.91</v>
      </c>
      <c r="H30" s="168">
        <v>476630.91</v>
      </c>
      <c r="I30" s="169">
        <f t="shared" si="1"/>
        <v>39.28868916007149</v>
      </c>
      <c r="J30" s="169">
        <f t="shared" si="1"/>
        <v>45.1620856313817</v>
      </c>
      <c r="K30" s="169">
        <f t="shared" si="1"/>
        <v>37.10626305549138</v>
      </c>
    </row>
    <row r="31" spans="1:11" ht="13.5">
      <c r="A31" s="87">
        <v>26</v>
      </c>
      <c r="B31" s="88" t="s">
        <v>69</v>
      </c>
      <c r="C31" s="168">
        <v>0</v>
      </c>
      <c r="D31" s="168">
        <v>0</v>
      </c>
      <c r="E31" s="168">
        <f>'CD Ratio_3(i)'!D31</f>
        <v>26117</v>
      </c>
      <c r="F31" s="168">
        <v>0</v>
      </c>
      <c r="G31" s="168">
        <v>0</v>
      </c>
      <c r="H31" s="168">
        <f>'CD Ratio_3(i)'!F31</f>
        <v>32858</v>
      </c>
      <c r="I31" s="169">
        <v>0</v>
      </c>
      <c r="J31" s="169">
        <v>0</v>
      </c>
      <c r="K31" s="169">
        <f t="shared" si="1"/>
        <v>125.8107745912624</v>
      </c>
    </row>
    <row r="32" spans="1:11" ht="13.5">
      <c r="A32" s="87">
        <v>27</v>
      </c>
      <c r="B32" s="88" t="s">
        <v>52</v>
      </c>
      <c r="C32" s="168">
        <v>1320</v>
      </c>
      <c r="D32" s="168">
        <v>11754</v>
      </c>
      <c r="E32" s="168">
        <v>116978</v>
      </c>
      <c r="F32" s="168">
        <v>2282</v>
      </c>
      <c r="G32" s="168">
        <v>12619</v>
      </c>
      <c r="H32" s="168">
        <v>57113</v>
      </c>
      <c r="I32" s="169">
        <f t="shared" si="1"/>
        <v>172.87878787878788</v>
      </c>
      <c r="J32" s="169">
        <f t="shared" si="1"/>
        <v>107.35919686915092</v>
      </c>
      <c r="K32" s="169">
        <f t="shared" si="1"/>
        <v>48.82371044127956</v>
      </c>
    </row>
    <row r="33" spans="1:11" ht="13.5">
      <c r="A33" s="87"/>
      <c r="B33" s="103" t="s">
        <v>254</v>
      </c>
      <c r="C33" s="170">
        <f aca="true" t="shared" si="2" ref="C33:H33">SUM(C6:C32)</f>
        <v>2801119.6599999997</v>
      </c>
      <c r="D33" s="170">
        <f t="shared" si="2"/>
        <v>5162955.720000001</v>
      </c>
      <c r="E33" s="170">
        <f t="shared" si="2"/>
        <v>15059783.11</v>
      </c>
      <c r="F33" s="170">
        <f t="shared" si="2"/>
        <v>2286532.2800000003</v>
      </c>
      <c r="G33" s="170">
        <f t="shared" si="2"/>
        <v>3629195.4200000004</v>
      </c>
      <c r="H33" s="170">
        <f t="shared" si="2"/>
        <v>9267455.55</v>
      </c>
      <c r="I33" s="174">
        <f t="shared" si="1"/>
        <v>81.62922536483146</v>
      </c>
      <c r="J33" s="174">
        <f t="shared" si="1"/>
        <v>70.29297977399659</v>
      </c>
      <c r="K33" s="174">
        <f t="shared" si="1"/>
        <v>61.53777569244157</v>
      </c>
    </row>
    <row r="34" spans="1:11" ht="13.5">
      <c r="A34" s="87">
        <v>28</v>
      </c>
      <c r="B34" s="88" t="s">
        <v>49</v>
      </c>
      <c r="C34" s="168">
        <v>27587.89</v>
      </c>
      <c r="D34" s="168">
        <v>81746.97</v>
      </c>
      <c r="E34" s="168">
        <v>525814.31</v>
      </c>
      <c r="F34" s="168">
        <v>6240.68</v>
      </c>
      <c r="G34" s="168">
        <v>34749.41</v>
      </c>
      <c r="H34" s="168">
        <v>530982.1</v>
      </c>
      <c r="I34" s="169">
        <f t="shared" si="1"/>
        <v>22.621084831061744</v>
      </c>
      <c r="J34" s="169">
        <f t="shared" si="1"/>
        <v>42.508499091770624</v>
      </c>
      <c r="K34" s="169">
        <f t="shared" si="1"/>
        <v>100.98281653840877</v>
      </c>
    </row>
    <row r="35" spans="1:11" ht="13.5">
      <c r="A35" s="87">
        <v>29</v>
      </c>
      <c r="B35" s="107" t="s">
        <v>255</v>
      </c>
      <c r="C35" s="168">
        <v>1106.2318</v>
      </c>
      <c r="D35" s="168">
        <v>1714.0448</v>
      </c>
      <c r="E35" s="168">
        <v>9990</v>
      </c>
      <c r="F35" s="168">
        <v>8605.8995</v>
      </c>
      <c r="G35" s="168">
        <v>11217.8908</v>
      </c>
      <c r="H35" s="168">
        <v>21645</v>
      </c>
      <c r="I35" s="169">
        <f t="shared" si="1"/>
        <v>777.9472168491269</v>
      </c>
      <c r="J35" s="169">
        <f t="shared" si="1"/>
        <v>654.4689380347585</v>
      </c>
      <c r="K35" s="169">
        <f t="shared" si="1"/>
        <v>216.66666666666666</v>
      </c>
    </row>
    <row r="36" spans="1:11" ht="13.5">
      <c r="A36" s="87">
        <v>30</v>
      </c>
      <c r="B36" s="88" t="s">
        <v>280</v>
      </c>
      <c r="C36" s="168">
        <v>0</v>
      </c>
      <c r="D36" s="168">
        <v>0</v>
      </c>
      <c r="E36" s="168">
        <v>2700</v>
      </c>
      <c r="F36" s="168">
        <v>0</v>
      </c>
      <c r="G36" s="168">
        <v>0</v>
      </c>
      <c r="H36" s="168">
        <v>600</v>
      </c>
      <c r="I36" s="169">
        <v>0</v>
      </c>
      <c r="J36" s="169">
        <v>0</v>
      </c>
      <c r="K36" s="169">
        <f t="shared" si="1"/>
        <v>22.22222222222222</v>
      </c>
    </row>
    <row r="37" spans="1:11" ht="13.5">
      <c r="A37" s="87">
        <v>31</v>
      </c>
      <c r="B37" s="88" t="s">
        <v>80</v>
      </c>
      <c r="C37" s="168">
        <v>0</v>
      </c>
      <c r="D37" s="168">
        <v>0</v>
      </c>
      <c r="E37" s="168">
        <v>3961</v>
      </c>
      <c r="F37" s="168">
        <v>0</v>
      </c>
      <c r="G37" s="168">
        <v>0</v>
      </c>
      <c r="H37" s="168">
        <v>1</v>
      </c>
      <c r="I37" s="169">
        <v>0</v>
      </c>
      <c r="J37" s="169">
        <v>0</v>
      </c>
      <c r="K37" s="169">
        <f t="shared" si="1"/>
        <v>0.025246149962130773</v>
      </c>
    </row>
    <row r="38" spans="1:11" ht="13.5">
      <c r="A38" s="87">
        <v>32</v>
      </c>
      <c r="B38" s="88" t="s">
        <v>53</v>
      </c>
      <c r="C38" s="168">
        <v>0</v>
      </c>
      <c r="D38" s="168">
        <v>0</v>
      </c>
      <c r="E38" s="168">
        <v>4927</v>
      </c>
      <c r="F38" s="168">
        <v>0</v>
      </c>
      <c r="G38" s="168">
        <v>0</v>
      </c>
      <c r="H38" s="168">
        <v>8698</v>
      </c>
      <c r="I38" s="169">
        <v>0</v>
      </c>
      <c r="J38" s="169">
        <v>0</v>
      </c>
      <c r="K38" s="169">
        <f t="shared" si="1"/>
        <v>176.5374467221433</v>
      </c>
    </row>
    <row r="39" spans="1:11" ht="13.5">
      <c r="A39" s="87">
        <v>33</v>
      </c>
      <c r="B39" s="88" t="s">
        <v>257</v>
      </c>
      <c r="C39" s="168">
        <v>0</v>
      </c>
      <c r="D39" s="168">
        <v>0</v>
      </c>
      <c r="E39" s="168">
        <v>11958</v>
      </c>
      <c r="F39" s="168">
        <v>0</v>
      </c>
      <c r="G39" s="168">
        <v>0</v>
      </c>
      <c r="H39" s="168">
        <v>38864</v>
      </c>
      <c r="I39" s="169">
        <v>0</v>
      </c>
      <c r="J39" s="169">
        <v>0</v>
      </c>
      <c r="K39" s="169">
        <f t="shared" si="1"/>
        <v>325.00418130122097</v>
      </c>
    </row>
    <row r="40" spans="1:11" ht="13.5">
      <c r="A40" s="87">
        <v>34</v>
      </c>
      <c r="B40" s="88" t="s">
        <v>91</v>
      </c>
      <c r="C40" s="168">
        <v>0</v>
      </c>
      <c r="D40" s="168">
        <v>0</v>
      </c>
      <c r="E40" s="168">
        <v>608</v>
      </c>
      <c r="F40" s="168">
        <v>0</v>
      </c>
      <c r="G40" s="168">
        <v>0</v>
      </c>
      <c r="H40" s="168">
        <v>28</v>
      </c>
      <c r="I40" s="169">
        <v>0</v>
      </c>
      <c r="J40" s="169">
        <v>0</v>
      </c>
      <c r="K40" s="169">
        <f t="shared" si="1"/>
        <v>4.605263157894737</v>
      </c>
    </row>
    <row r="41" spans="1:11" ht="13.5">
      <c r="A41" s="87">
        <v>35</v>
      </c>
      <c r="B41" s="88" t="s">
        <v>259</v>
      </c>
      <c r="C41" s="168">
        <v>0</v>
      </c>
      <c r="D41" s="168">
        <v>0</v>
      </c>
      <c r="E41" s="168">
        <v>41546</v>
      </c>
      <c r="F41" s="168">
        <v>0</v>
      </c>
      <c r="G41" s="168">
        <v>0</v>
      </c>
      <c r="H41" s="168">
        <v>15259</v>
      </c>
      <c r="I41" s="169">
        <v>0</v>
      </c>
      <c r="J41" s="169">
        <v>0</v>
      </c>
      <c r="K41" s="169">
        <f t="shared" si="1"/>
        <v>36.72796418427767</v>
      </c>
    </row>
    <row r="42" spans="1:11" ht="13.5">
      <c r="A42" s="87">
        <v>36</v>
      </c>
      <c r="B42" s="88" t="s">
        <v>73</v>
      </c>
      <c r="C42" s="168">
        <v>6832.6484052000005</v>
      </c>
      <c r="D42" s="168">
        <v>109980.67211550001</v>
      </c>
      <c r="E42" s="168">
        <v>550082.4959251</v>
      </c>
      <c r="F42" s="168">
        <v>4339.1380056649095</v>
      </c>
      <c r="G42" s="168">
        <v>211452.81770698912</v>
      </c>
      <c r="H42" s="168">
        <v>905436.0681196381</v>
      </c>
      <c r="I42" s="169">
        <f t="shared" si="1"/>
        <v>63.50594598666309</v>
      </c>
      <c r="J42" s="169">
        <f t="shared" si="1"/>
        <v>192.26361654248177</v>
      </c>
      <c r="K42" s="169">
        <f t="shared" si="1"/>
        <v>164.60005086999232</v>
      </c>
    </row>
    <row r="43" spans="1:11" ht="15" customHeight="1">
      <c r="A43" s="87">
        <v>37</v>
      </c>
      <c r="B43" s="88" t="s">
        <v>74</v>
      </c>
      <c r="C43" s="168">
        <v>614.2943835081901</v>
      </c>
      <c r="D43" s="168">
        <v>212099.09714219143</v>
      </c>
      <c r="E43" s="168">
        <f>345791-55</f>
        <v>345736</v>
      </c>
      <c r="F43" s="168">
        <v>3116.4069576714</v>
      </c>
      <c r="G43" s="168">
        <v>576535.287169209</v>
      </c>
      <c r="H43" s="168">
        <v>459150.6250969196</v>
      </c>
      <c r="I43" s="169">
        <f t="shared" si="1"/>
        <v>507.3149032999177</v>
      </c>
      <c r="J43" s="169">
        <f t="shared" si="1"/>
        <v>271.8235461335789</v>
      </c>
      <c r="K43" s="169">
        <f t="shared" si="1"/>
        <v>132.80382288709293</v>
      </c>
    </row>
    <row r="44" spans="1:11" ht="13.5">
      <c r="A44" s="87">
        <v>38</v>
      </c>
      <c r="B44" s="88" t="s">
        <v>260</v>
      </c>
      <c r="C44" s="168">
        <v>0</v>
      </c>
      <c r="D44" s="168">
        <v>0</v>
      </c>
      <c r="E44" s="168">
        <v>360</v>
      </c>
      <c r="F44" s="168">
        <v>0</v>
      </c>
      <c r="G44" s="168">
        <v>0</v>
      </c>
      <c r="H44" s="168">
        <v>2685</v>
      </c>
      <c r="I44" s="169">
        <v>0</v>
      </c>
      <c r="J44" s="169">
        <v>0</v>
      </c>
      <c r="K44" s="169">
        <f>H44*100/E44</f>
        <v>745.8333333333334</v>
      </c>
    </row>
    <row r="45" spans="1:11" ht="13.5">
      <c r="A45" s="87">
        <v>39</v>
      </c>
      <c r="B45" s="88" t="s">
        <v>92</v>
      </c>
      <c r="C45" s="168">
        <v>2063.9727419544756</v>
      </c>
      <c r="D45" s="168">
        <v>5043.99353163369</v>
      </c>
      <c r="E45" s="168">
        <v>77556.86958838858</v>
      </c>
      <c r="F45" s="168">
        <v>11120.2415915</v>
      </c>
      <c r="G45" s="168">
        <v>18978.911088800003</v>
      </c>
      <c r="H45" s="168">
        <v>208901.5326438564</v>
      </c>
      <c r="I45" s="169">
        <f>F45*100/C45</f>
        <v>538.778510270911</v>
      </c>
      <c r="J45" s="169">
        <f>G45*100/D45</f>
        <v>376.2675540674803</v>
      </c>
      <c r="K45" s="169">
        <f>H45*100/E45</f>
        <v>269.3527133734806</v>
      </c>
    </row>
    <row r="46" spans="1:11" ht="13.5">
      <c r="A46" s="87">
        <v>40</v>
      </c>
      <c r="B46" s="88" t="s">
        <v>281</v>
      </c>
      <c r="C46" s="168">
        <v>0</v>
      </c>
      <c r="D46" s="168">
        <v>0</v>
      </c>
      <c r="E46" s="168">
        <v>11971</v>
      </c>
      <c r="F46" s="168">
        <v>0</v>
      </c>
      <c r="G46" s="168">
        <v>0</v>
      </c>
      <c r="H46" s="168">
        <v>1536</v>
      </c>
      <c r="I46" s="169">
        <v>0</v>
      </c>
      <c r="J46" s="169">
        <v>0</v>
      </c>
      <c r="K46" s="169">
        <f t="shared" si="1"/>
        <v>12.8310082699858</v>
      </c>
    </row>
    <row r="47" spans="1:11" ht="13.5">
      <c r="A47" s="87">
        <v>41</v>
      </c>
      <c r="B47" s="88" t="s">
        <v>90</v>
      </c>
      <c r="C47" s="168">
        <v>0</v>
      </c>
      <c r="D47" s="168">
        <v>0</v>
      </c>
      <c r="E47" s="168">
        <f>'CD Ratio_3(i)'!D47</f>
        <v>20098</v>
      </c>
      <c r="F47" s="168">
        <v>0</v>
      </c>
      <c r="G47" s="168">
        <v>0</v>
      </c>
      <c r="H47" s="168">
        <f>'CD Ratio_3(i)'!F47</f>
        <v>32769</v>
      </c>
      <c r="I47" s="169">
        <v>0</v>
      </c>
      <c r="J47" s="169">
        <v>0</v>
      </c>
      <c r="K47" s="169">
        <f t="shared" si="1"/>
        <v>163.04607423624242</v>
      </c>
    </row>
    <row r="48" spans="1:11" ht="13.5">
      <c r="A48" s="87">
        <v>42</v>
      </c>
      <c r="B48" s="88" t="s">
        <v>95</v>
      </c>
      <c r="C48" s="168">
        <v>0</v>
      </c>
      <c r="D48" s="168">
        <v>0</v>
      </c>
      <c r="E48" s="168">
        <f>'CD Ratio_3(i)'!D48</f>
        <v>18899</v>
      </c>
      <c r="F48" s="168">
        <v>0</v>
      </c>
      <c r="G48" s="168">
        <v>0</v>
      </c>
      <c r="H48" s="168">
        <f>'CD Ratio_3(i)'!F48</f>
        <v>14046</v>
      </c>
      <c r="I48" s="169">
        <v>0</v>
      </c>
      <c r="J48" s="169">
        <v>0</v>
      </c>
      <c r="K48" s="169">
        <f t="shared" si="1"/>
        <v>74.32139266627864</v>
      </c>
    </row>
    <row r="49" spans="1:11" ht="13.5">
      <c r="A49" s="87">
        <v>43</v>
      </c>
      <c r="B49" s="88" t="s">
        <v>75</v>
      </c>
      <c r="C49" s="168">
        <v>0</v>
      </c>
      <c r="D49" s="168">
        <v>0</v>
      </c>
      <c r="E49" s="168">
        <f>'CD Ratio_3(i)'!D49</f>
        <v>96672</v>
      </c>
      <c r="F49" s="168">
        <v>0</v>
      </c>
      <c r="G49" s="168">
        <v>0</v>
      </c>
      <c r="H49" s="168">
        <f>'CD Ratio_3(i)'!F49</f>
        <v>197570</v>
      </c>
      <c r="I49" s="169">
        <v>0</v>
      </c>
      <c r="J49" s="169">
        <v>0</v>
      </c>
      <c r="K49" s="169">
        <f t="shared" si="1"/>
        <v>204.37148295266468</v>
      </c>
    </row>
    <row r="50" spans="1:11" ht="13.5">
      <c r="A50" s="87">
        <v>44</v>
      </c>
      <c r="B50" s="88" t="s">
        <v>93</v>
      </c>
      <c r="C50" s="168">
        <v>0</v>
      </c>
      <c r="D50" s="168">
        <v>0</v>
      </c>
      <c r="E50" s="168">
        <f>'CD Ratio_3(i)'!D50</f>
        <v>11418</v>
      </c>
      <c r="F50" s="168">
        <v>0</v>
      </c>
      <c r="G50" s="168">
        <v>0</v>
      </c>
      <c r="H50" s="168">
        <f>'CD Ratio_3(i)'!F50</f>
        <v>3741</v>
      </c>
      <c r="I50" s="169">
        <v>0</v>
      </c>
      <c r="J50" s="169">
        <v>0</v>
      </c>
      <c r="K50" s="169">
        <f t="shared" si="1"/>
        <v>32.76405675249606</v>
      </c>
    </row>
    <row r="51" spans="1:11" ht="13.5">
      <c r="A51" s="87">
        <v>45</v>
      </c>
      <c r="B51" s="88" t="s">
        <v>77</v>
      </c>
      <c r="C51" s="168">
        <v>0</v>
      </c>
      <c r="D51" s="168">
        <v>0</v>
      </c>
      <c r="E51" s="168">
        <f>'CD Ratio_3(i)'!D51</f>
        <v>52680</v>
      </c>
      <c r="F51" s="168">
        <v>0</v>
      </c>
      <c r="G51" s="168">
        <v>0</v>
      </c>
      <c r="H51" s="168">
        <f>'CD Ratio_3(i)'!F51</f>
        <v>78373.0693641596</v>
      </c>
      <c r="I51" s="169">
        <v>0</v>
      </c>
      <c r="J51" s="169">
        <v>0</v>
      </c>
      <c r="K51" s="169">
        <f t="shared" si="1"/>
        <v>148.77196158724297</v>
      </c>
    </row>
    <row r="52" spans="1:11" ht="13.5">
      <c r="A52" s="87">
        <v>46</v>
      </c>
      <c r="B52" s="88" t="s">
        <v>267</v>
      </c>
      <c r="C52" s="168">
        <v>0</v>
      </c>
      <c r="D52" s="168">
        <v>0</v>
      </c>
      <c r="E52" s="168">
        <f>'CD Ratio_3(i)'!D52</f>
        <v>12692</v>
      </c>
      <c r="F52" s="168">
        <v>0</v>
      </c>
      <c r="G52" s="168">
        <v>0</v>
      </c>
      <c r="H52" s="168">
        <f>'CD Ratio_3(i)'!F52</f>
        <v>4776</v>
      </c>
      <c r="I52" s="169">
        <v>0</v>
      </c>
      <c r="J52" s="169">
        <v>0</v>
      </c>
      <c r="K52" s="169">
        <f t="shared" si="1"/>
        <v>37.63000315159155</v>
      </c>
    </row>
    <row r="53" spans="1:11" ht="13.5">
      <c r="A53" s="87">
        <v>47</v>
      </c>
      <c r="B53" s="88" t="s">
        <v>79</v>
      </c>
      <c r="C53" s="168">
        <v>0</v>
      </c>
      <c r="D53" s="168">
        <v>0</v>
      </c>
      <c r="E53" s="168">
        <f>'CD Ratio_3(i)'!D53</f>
        <v>31879</v>
      </c>
      <c r="F53" s="168">
        <v>0</v>
      </c>
      <c r="G53" s="168">
        <v>0</v>
      </c>
      <c r="H53" s="168">
        <f>'CD Ratio_3(i)'!F53</f>
        <v>4581</v>
      </c>
      <c r="I53" s="169">
        <v>0</v>
      </c>
      <c r="J53" s="169">
        <v>0</v>
      </c>
      <c r="K53" s="169">
        <f t="shared" si="1"/>
        <v>14.369961416606543</v>
      </c>
    </row>
    <row r="54" spans="1:11" ht="13.5">
      <c r="A54" s="87">
        <v>48</v>
      </c>
      <c r="B54" s="88" t="s">
        <v>282</v>
      </c>
      <c r="C54" s="168">
        <v>0</v>
      </c>
      <c r="D54" s="168">
        <v>0</v>
      </c>
      <c r="E54" s="168">
        <f>'CD Ratio_3(i)'!D54</f>
        <v>1009</v>
      </c>
      <c r="F54" s="168">
        <v>0</v>
      </c>
      <c r="G54" s="168">
        <v>0</v>
      </c>
      <c r="H54" s="168">
        <f>'CD Ratio_3(i)'!F54</f>
        <v>3307</v>
      </c>
      <c r="I54" s="169">
        <v>0</v>
      </c>
      <c r="J54" s="169">
        <v>0</v>
      </c>
      <c r="K54" s="169">
        <f t="shared" si="1"/>
        <v>327.7502477700694</v>
      </c>
    </row>
    <row r="55" spans="1:11" ht="13.5">
      <c r="A55" s="87">
        <v>49</v>
      </c>
      <c r="B55" s="88" t="s">
        <v>78</v>
      </c>
      <c r="C55" s="168">
        <v>0</v>
      </c>
      <c r="D55" s="168">
        <v>0</v>
      </c>
      <c r="E55" s="168">
        <f>'CD Ratio_3(i)'!D55</f>
        <v>96600</v>
      </c>
      <c r="F55" s="168">
        <v>0</v>
      </c>
      <c r="G55" s="168">
        <v>0</v>
      </c>
      <c r="H55" s="168">
        <f>'CD Ratio_3(i)'!F55</f>
        <v>79100</v>
      </c>
      <c r="I55" s="169">
        <v>0</v>
      </c>
      <c r="J55" s="169">
        <v>0</v>
      </c>
      <c r="K55" s="169">
        <f t="shared" si="1"/>
        <v>81.8840579710145</v>
      </c>
    </row>
    <row r="56" spans="1:11" ht="13.5">
      <c r="A56" s="87"/>
      <c r="B56" s="103" t="s">
        <v>283</v>
      </c>
      <c r="C56" s="170">
        <f aca="true" t="shared" si="3" ref="C56:H56">SUM(C34:C55)</f>
        <v>38205.037330662664</v>
      </c>
      <c r="D56" s="170">
        <f t="shared" si="3"/>
        <v>410584.77758932515</v>
      </c>
      <c r="E56" s="170">
        <f t="shared" si="3"/>
        <v>1929157.6755134887</v>
      </c>
      <c r="F56" s="170">
        <f t="shared" si="3"/>
        <v>33422.36605483631</v>
      </c>
      <c r="G56" s="170">
        <f t="shared" si="3"/>
        <v>852934.3167649981</v>
      </c>
      <c r="H56" s="170">
        <f t="shared" si="3"/>
        <v>2612049.395224574</v>
      </c>
      <c r="I56" s="174">
        <f t="shared" si="1"/>
        <v>87.48156889775404</v>
      </c>
      <c r="J56" s="174">
        <f t="shared" si="1"/>
        <v>207.73646840315146</v>
      </c>
      <c r="K56" s="174">
        <f t="shared" si="1"/>
        <v>135.39843986725026</v>
      </c>
    </row>
    <row r="57" spans="1:11" ht="13.5">
      <c r="A57" s="87">
        <v>51</v>
      </c>
      <c r="B57" s="88" t="s">
        <v>48</v>
      </c>
      <c r="C57" s="168">
        <v>237409</v>
      </c>
      <c r="D57" s="168">
        <v>251116</v>
      </c>
      <c r="E57" s="168">
        <v>155014</v>
      </c>
      <c r="F57" s="168">
        <v>198533</v>
      </c>
      <c r="G57" s="168">
        <v>138408</v>
      </c>
      <c r="H57" s="168">
        <v>44374</v>
      </c>
      <c r="I57" s="169">
        <f t="shared" si="1"/>
        <v>83.62488363962613</v>
      </c>
      <c r="J57" s="169">
        <f t="shared" si="1"/>
        <v>55.11715701110244</v>
      </c>
      <c r="K57" s="169">
        <f t="shared" si="1"/>
        <v>28.625801540506018</v>
      </c>
    </row>
    <row r="58" spans="1:11" ht="13.5">
      <c r="A58" s="87">
        <v>52</v>
      </c>
      <c r="B58" s="88" t="s">
        <v>269</v>
      </c>
      <c r="C58" s="168">
        <v>321541</v>
      </c>
      <c r="D58" s="168">
        <v>147130</v>
      </c>
      <c r="E58" s="168">
        <v>120289</v>
      </c>
      <c r="F58" s="168">
        <v>176221</v>
      </c>
      <c r="G58" s="168">
        <v>58983</v>
      </c>
      <c r="H58" s="168">
        <v>22472</v>
      </c>
      <c r="I58" s="169">
        <f t="shared" si="1"/>
        <v>54.80514149050976</v>
      </c>
      <c r="J58" s="169">
        <f t="shared" si="1"/>
        <v>40.08903690613743</v>
      </c>
      <c r="K58" s="169">
        <f t="shared" si="1"/>
        <v>18.681674966123254</v>
      </c>
    </row>
    <row r="59" spans="1:11" ht="13.5">
      <c r="A59" s="87">
        <v>53</v>
      </c>
      <c r="B59" s="88" t="s">
        <v>54</v>
      </c>
      <c r="C59" s="168">
        <v>205904.16623820006</v>
      </c>
      <c r="D59" s="168">
        <v>221907.7867484</v>
      </c>
      <c r="E59" s="168">
        <v>72940.20367790002</v>
      </c>
      <c r="F59" s="168">
        <v>259244.65308421</v>
      </c>
      <c r="G59" s="168">
        <v>138664.3393461</v>
      </c>
      <c r="H59" s="168">
        <v>33638.2579938</v>
      </c>
      <c r="I59" s="169">
        <f t="shared" si="1"/>
        <v>125.90549177344136</v>
      </c>
      <c r="J59" s="169">
        <f t="shared" si="1"/>
        <v>62.4873698115507</v>
      </c>
      <c r="K59" s="169">
        <f t="shared" si="1"/>
        <v>46.11758165955324</v>
      </c>
    </row>
    <row r="60" spans="1:11" ht="13.5">
      <c r="A60" s="87"/>
      <c r="B60" s="103" t="s">
        <v>270</v>
      </c>
      <c r="C60" s="170">
        <f aca="true" t="shared" si="4" ref="C60:H60">SUM(C57:C59)</f>
        <v>764854.1662382</v>
      </c>
      <c r="D60" s="170">
        <f t="shared" si="4"/>
        <v>620153.7867484</v>
      </c>
      <c r="E60" s="170">
        <f t="shared" si="4"/>
        <v>348243.2036779</v>
      </c>
      <c r="F60" s="170">
        <f t="shared" si="4"/>
        <v>633998.65308421</v>
      </c>
      <c r="G60" s="170">
        <f t="shared" si="4"/>
        <v>336055.3393461</v>
      </c>
      <c r="H60" s="170">
        <f t="shared" si="4"/>
        <v>100484.2579938</v>
      </c>
      <c r="I60" s="174">
        <f t="shared" si="1"/>
        <v>82.89144271808314</v>
      </c>
      <c r="J60" s="174">
        <f t="shared" si="1"/>
        <v>54.18903287007415</v>
      </c>
      <c r="K60" s="174">
        <f t="shared" si="1"/>
        <v>28.8546214061196</v>
      </c>
    </row>
    <row r="61" spans="1:11" ht="13.5">
      <c r="A61" s="87">
        <v>53</v>
      </c>
      <c r="B61" s="88" t="s">
        <v>277</v>
      </c>
      <c r="C61" s="168">
        <v>642284</v>
      </c>
      <c r="D61" s="168">
        <v>1016409</v>
      </c>
      <c r="E61" s="168">
        <v>185981</v>
      </c>
      <c r="F61" s="168">
        <v>397380</v>
      </c>
      <c r="G61" s="168">
        <v>628852</v>
      </c>
      <c r="H61" s="168">
        <v>115066</v>
      </c>
      <c r="I61" s="169">
        <f t="shared" si="1"/>
        <v>61.86982705469855</v>
      </c>
      <c r="J61" s="169">
        <f t="shared" si="1"/>
        <v>61.8699755708578</v>
      </c>
      <c r="K61" s="169">
        <f t="shared" si="1"/>
        <v>61.869760889553234</v>
      </c>
    </row>
    <row r="62" spans="1:11" ht="13.5">
      <c r="A62" s="87"/>
      <c r="B62" s="103" t="s">
        <v>284</v>
      </c>
      <c r="C62" s="168">
        <f aca="true" t="shared" si="5" ref="C62:H62">C61</f>
        <v>642284</v>
      </c>
      <c r="D62" s="168">
        <f t="shared" si="5"/>
        <v>1016409</v>
      </c>
      <c r="E62" s="168">
        <f t="shared" si="5"/>
        <v>185981</v>
      </c>
      <c r="F62" s="168">
        <f t="shared" si="5"/>
        <v>397380</v>
      </c>
      <c r="G62" s="168">
        <f t="shared" si="5"/>
        <v>628852</v>
      </c>
      <c r="H62" s="168">
        <f t="shared" si="5"/>
        <v>115066</v>
      </c>
      <c r="I62" s="174">
        <f t="shared" si="1"/>
        <v>61.86982705469855</v>
      </c>
      <c r="J62" s="174">
        <f t="shared" si="1"/>
        <v>61.8699755708578</v>
      </c>
      <c r="K62" s="174">
        <f t="shared" si="1"/>
        <v>61.869760889553234</v>
      </c>
    </row>
    <row r="63" spans="1:11" ht="13.5">
      <c r="A63" s="87"/>
      <c r="B63" s="103" t="s">
        <v>285</v>
      </c>
      <c r="C63" s="170">
        <f aca="true" t="shared" si="6" ref="C63:H63">C62+C60+C56+C33</f>
        <v>4246462.863568862</v>
      </c>
      <c r="D63" s="170">
        <f t="shared" si="6"/>
        <v>7210103.2843377255</v>
      </c>
      <c r="E63" s="170">
        <f t="shared" si="6"/>
        <v>17523164.989191387</v>
      </c>
      <c r="F63" s="170">
        <f t="shared" si="6"/>
        <v>3351333.2991390466</v>
      </c>
      <c r="G63" s="170">
        <f t="shared" si="6"/>
        <v>5447037.076111099</v>
      </c>
      <c r="H63" s="170">
        <f t="shared" si="6"/>
        <v>12095055.203218374</v>
      </c>
      <c r="I63" s="174">
        <f t="shared" si="1"/>
        <v>78.92058418526896</v>
      </c>
      <c r="J63" s="174">
        <f t="shared" si="1"/>
        <v>75.54728221360602</v>
      </c>
      <c r="K63" s="174">
        <f t="shared" si="1"/>
        <v>69.02323416277156</v>
      </c>
    </row>
    <row r="66" spans="9:11" ht="12.75">
      <c r="I66" s="186"/>
      <c r="J66" s="186"/>
      <c r="K66" s="186"/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A2:K2"/>
    <mergeCell ref="I4:K4"/>
    <mergeCell ref="A1:K1"/>
    <mergeCell ref="A4:A5"/>
    <mergeCell ref="B4:B5"/>
    <mergeCell ref="C4:E4"/>
    <mergeCell ref="F4:H4"/>
    <mergeCell ref="J3:K3"/>
  </mergeCells>
  <printOptions/>
  <pageMargins left="1" right="0.25" top="0.5" bottom="0.5" header="0.3" footer="0.3"/>
  <pageSetup horizontalDpi="600" verticalDpi="600" orientation="portrait" scale="80" r:id="rId1"/>
  <rowBreaks count="1" manualBreakCount="1">
    <brk id="63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I62"/>
  <sheetViews>
    <sheetView view="pageBreakPreview" zoomScale="60" zoomScalePageLayoutView="0" workbookViewId="0" topLeftCell="A1">
      <pane xSplit="1" ySplit="5" topLeftCell="B4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5" sqref="E55"/>
    </sheetView>
  </sheetViews>
  <sheetFormatPr defaultColWidth="9.140625" defaultRowHeight="12.75"/>
  <cols>
    <col min="1" max="1" width="5.7109375" style="49" bestFit="1" customWidth="1"/>
    <col min="2" max="2" width="25.00390625" style="45" customWidth="1"/>
    <col min="3" max="3" width="8.28125" style="45" hidden="1" customWidth="1"/>
    <col min="4" max="4" width="17.8515625" style="48" customWidth="1"/>
    <col min="5" max="5" width="16.140625" style="48" customWidth="1"/>
    <col min="6" max="6" width="15.57421875" style="48" customWidth="1"/>
    <col min="7" max="7" width="18.57421875" style="48" customWidth="1"/>
    <col min="8" max="8" width="10.00390625" style="45" bestFit="1" customWidth="1"/>
    <col min="9" max="16384" width="9.140625" style="45" customWidth="1"/>
  </cols>
  <sheetData>
    <row r="1" spans="1:7" ht="18.75">
      <c r="A1" s="625" t="s">
        <v>204</v>
      </c>
      <c r="B1" s="625"/>
      <c r="C1" s="625"/>
      <c r="D1" s="625"/>
      <c r="E1" s="625"/>
      <c r="F1" s="625"/>
      <c r="G1" s="625"/>
    </row>
    <row r="2" spans="1:7" ht="18.75">
      <c r="A2" s="633"/>
      <c r="B2" s="633"/>
      <c r="C2" s="633"/>
      <c r="D2" s="633"/>
      <c r="E2" s="633"/>
      <c r="F2" s="633"/>
      <c r="G2" s="633"/>
    </row>
    <row r="3" spans="1:7" ht="14.25" customHeight="1">
      <c r="A3" s="46"/>
      <c r="B3" s="284" t="s">
        <v>12</v>
      </c>
      <c r="C3" s="47"/>
      <c r="G3" s="285" t="s">
        <v>203</v>
      </c>
    </row>
    <row r="4" spans="1:7" ht="30" customHeight="1">
      <c r="A4" s="634" t="s">
        <v>272</v>
      </c>
      <c r="B4" s="634" t="s">
        <v>3</v>
      </c>
      <c r="C4" s="286" t="s">
        <v>31</v>
      </c>
      <c r="D4" s="635" t="s">
        <v>246</v>
      </c>
      <c r="E4" s="635" t="s">
        <v>25</v>
      </c>
      <c r="F4" s="636" t="s">
        <v>46</v>
      </c>
      <c r="G4" s="636" t="s">
        <v>47</v>
      </c>
    </row>
    <row r="5" spans="1:7" ht="30" customHeight="1">
      <c r="A5" s="634"/>
      <c r="B5" s="634"/>
      <c r="C5" s="286"/>
      <c r="D5" s="635"/>
      <c r="E5" s="635"/>
      <c r="F5" s="636"/>
      <c r="G5" s="636"/>
    </row>
    <row r="6" spans="1:7" ht="15" customHeight="1">
      <c r="A6" s="281">
        <v>1</v>
      </c>
      <c r="B6" s="282" t="s">
        <v>57</v>
      </c>
      <c r="D6" s="283">
        <v>2674</v>
      </c>
      <c r="E6" s="283">
        <v>3378.48</v>
      </c>
      <c r="F6" s="283">
        <v>60428</v>
      </c>
      <c r="G6" s="283">
        <v>97837.11</v>
      </c>
    </row>
    <row r="7" spans="1:7" ht="15" customHeight="1">
      <c r="A7" s="245">
        <v>2</v>
      </c>
      <c r="B7" s="252" t="s">
        <v>58</v>
      </c>
      <c r="D7" s="277">
        <v>317</v>
      </c>
      <c r="E7" s="277">
        <v>615</v>
      </c>
      <c r="F7" s="277">
        <v>1149</v>
      </c>
      <c r="G7" s="277">
        <v>2096</v>
      </c>
    </row>
    <row r="8" spans="1:7" ht="15" customHeight="1">
      <c r="A8" s="245">
        <v>3</v>
      </c>
      <c r="B8" s="252" t="s">
        <v>59</v>
      </c>
      <c r="D8" s="277">
        <v>1159</v>
      </c>
      <c r="E8" s="277">
        <v>1449</v>
      </c>
      <c r="F8" s="277">
        <v>32628</v>
      </c>
      <c r="G8" s="277">
        <v>46529</v>
      </c>
    </row>
    <row r="9" spans="1:7" ht="15" customHeight="1">
      <c r="A9" s="245">
        <v>4</v>
      </c>
      <c r="B9" s="252" t="s">
        <v>60</v>
      </c>
      <c r="D9" s="277">
        <v>2856</v>
      </c>
      <c r="E9" s="277">
        <v>3946</v>
      </c>
      <c r="F9" s="277">
        <v>334159</v>
      </c>
      <c r="G9" s="277">
        <v>644505.1045723001</v>
      </c>
    </row>
    <row r="10" spans="1:7" ht="15" customHeight="1">
      <c r="A10" s="245">
        <v>5</v>
      </c>
      <c r="B10" s="252" t="s">
        <v>61</v>
      </c>
      <c r="D10" s="277">
        <v>17783</v>
      </c>
      <c r="E10" s="277">
        <v>20173</v>
      </c>
      <c r="F10" s="277">
        <v>46270</v>
      </c>
      <c r="G10" s="277">
        <v>65359</v>
      </c>
    </row>
    <row r="11" spans="1:7" ht="15" customHeight="1">
      <c r="A11" s="245">
        <v>6</v>
      </c>
      <c r="B11" s="278" t="s">
        <v>289</v>
      </c>
      <c r="D11" s="277">
        <v>0</v>
      </c>
      <c r="E11" s="277">
        <v>0</v>
      </c>
      <c r="F11" s="277">
        <v>1</v>
      </c>
      <c r="G11" s="277">
        <v>0.73</v>
      </c>
    </row>
    <row r="12" spans="1:7" ht="15" customHeight="1">
      <c r="A12" s="245">
        <v>7</v>
      </c>
      <c r="B12" s="252" t="s">
        <v>62</v>
      </c>
      <c r="D12" s="277">
        <v>680</v>
      </c>
      <c r="E12" s="277">
        <v>17970.37</v>
      </c>
      <c r="F12" s="277">
        <v>14522</v>
      </c>
      <c r="G12" s="277">
        <v>28172</v>
      </c>
    </row>
    <row r="13" spans="1:7" ht="15" customHeight="1">
      <c r="A13" s="245">
        <v>8</v>
      </c>
      <c r="B13" s="252" t="s">
        <v>63</v>
      </c>
      <c r="D13" s="277">
        <v>3997</v>
      </c>
      <c r="E13" s="277">
        <v>6119</v>
      </c>
      <c r="F13" s="277">
        <f>OutstandingAgri_4!E13</f>
        <v>220886</v>
      </c>
      <c r="G13" s="277">
        <f>OutstandingAgri_4!F13</f>
        <v>306592</v>
      </c>
    </row>
    <row r="14" spans="1:7" ht="15" customHeight="1">
      <c r="A14" s="245">
        <v>9</v>
      </c>
      <c r="B14" s="252" t="s">
        <v>50</v>
      </c>
      <c r="D14" s="277">
        <v>774</v>
      </c>
      <c r="E14" s="277">
        <v>2363</v>
      </c>
      <c r="F14" s="277">
        <v>774</v>
      </c>
      <c r="G14" s="277">
        <v>2363</v>
      </c>
    </row>
    <row r="15" spans="1:7" ht="15" customHeight="1">
      <c r="A15" s="245">
        <v>10</v>
      </c>
      <c r="B15" s="252" t="s">
        <v>51</v>
      </c>
      <c r="D15" s="277">
        <v>1477</v>
      </c>
      <c r="E15" s="277">
        <v>4854</v>
      </c>
      <c r="F15" s="277">
        <v>8191</v>
      </c>
      <c r="G15" s="277">
        <v>16725</v>
      </c>
    </row>
    <row r="16" spans="1:7" ht="15" customHeight="1">
      <c r="A16" s="245">
        <v>11</v>
      </c>
      <c r="B16" s="252" t="s">
        <v>290</v>
      </c>
      <c r="D16" s="277">
        <v>2412</v>
      </c>
      <c r="E16" s="277">
        <v>12140</v>
      </c>
      <c r="F16" s="277">
        <v>12254</v>
      </c>
      <c r="G16" s="277">
        <v>25502</v>
      </c>
    </row>
    <row r="17" spans="1:7" ht="15" customHeight="1">
      <c r="A17" s="245">
        <v>12</v>
      </c>
      <c r="B17" s="252" t="s">
        <v>64</v>
      </c>
      <c r="D17" s="277">
        <v>186</v>
      </c>
      <c r="E17" s="277">
        <v>283</v>
      </c>
      <c r="F17" s="277">
        <v>1798</v>
      </c>
      <c r="G17" s="277">
        <v>2786</v>
      </c>
    </row>
    <row r="18" spans="1:7" ht="15" customHeight="1">
      <c r="A18" s="245">
        <v>13</v>
      </c>
      <c r="B18" s="252" t="s">
        <v>65</v>
      </c>
      <c r="D18" s="277">
        <v>28</v>
      </c>
      <c r="E18" s="277">
        <v>44.800000000000004</v>
      </c>
      <c r="F18" s="277">
        <v>1759</v>
      </c>
      <c r="G18" s="277">
        <v>2937</v>
      </c>
    </row>
    <row r="19" spans="1:7" ht="15" customHeight="1">
      <c r="A19" s="245">
        <v>14</v>
      </c>
      <c r="B19" s="122" t="s">
        <v>291</v>
      </c>
      <c r="D19" s="277">
        <v>57</v>
      </c>
      <c r="E19" s="277">
        <v>158.8</v>
      </c>
      <c r="F19" s="277">
        <v>7877</v>
      </c>
      <c r="G19" s="277">
        <v>18779.65</v>
      </c>
    </row>
    <row r="20" spans="1:7" ht="15" customHeight="1">
      <c r="A20" s="245">
        <v>15</v>
      </c>
      <c r="B20" s="252" t="s">
        <v>292</v>
      </c>
      <c r="D20" s="277">
        <v>148</v>
      </c>
      <c r="E20" s="277">
        <v>262</v>
      </c>
      <c r="F20" s="277">
        <v>4184</v>
      </c>
      <c r="G20" s="277">
        <v>8230</v>
      </c>
    </row>
    <row r="21" spans="1:7" ht="15" customHeight="1">
      <c r="A21" s="245">
        <v>16</v>
      </c>
      <c r="B21" s="252" t="s">
        <v>66</v>
      </c>
      <c r="D21" s="277">
        <v>8296</v>
      </c>
      <c r="E21" s="277">
        <v>13501</v>
      </c>
      <c r="F21" s="277">
        <v>129161</v>
      </c>
      <c r="G21" s="277">
        <v>164214</v>
      </c>
    </row>
    <row r="22" spans="1:7" ht="15" customHeight="1">
      <c r="A22" s="245">
        <v>17</v>
      </c>
      <c r="B22" s="135" t="s">
        <v>67</v>
      </c>
      <c r="D22" s="277">
        <v>1452</v>
      </c>
      <c r="E22" s="277">
        <v>2078</v>
      </c>
      <c r="F22" s="277">
        <v>6045</v>
      </c>
      <c r="G22" s="277">
        <v>8685</v>
      </c>
    </row>
    <row r="23" spans="1:7" ht="15" customHeight="1">
      <c r="A23" s="245">
        <v>18</v>
      </c>
      <c r="B23" s="80" t="s">
        <v>253</v>
      </c>
      <c r="D23" s="277">
        <v>1137</v>
      </c>
      <c r="E23" s="277">
        <v>3001</v>
      </c>
      <c r="F23" s="277">
        <v>94222</v>
      </c>
      <c r="G23" s="277">
        <v>103170</v>
      </c>
    </row>
    <row r="24" spans="1:7" ht="15" customHeight="1">
      <c r="A24" s="245">
        <v>19</v>
      </c>
      <c r="B24" s="136" t="s">
        <v>68</v>
      </c>
      <c r="D24" s="277">
        <v>4020</v>
      </c>
      <c r="E24" s="277">
        <v>7620.74</v>
      </c>
      <c r="F24" s="277">
        <v>97284</v>
      </c>
      <c r="G24" s="277">
        <v>181825</v>
      </c>
    </row>
    <row r="25" spans="1:7" ht="15" customHeight="1">
      <c r="A25" s="245">
        <v>20</v>
      </c>
      <c r="B25" s="252" t="s">
        <v>69</v>
      </c>
      <c r="D25" s="277">
        <v>0</v>
      </c>
      <c r="E25" s="277">
        <v>0</v>
      </c>
      <c r="F25" s="277">
        <v>20</v>
      </c>
      <c r="G25" s="277">
        <v>60</v>
      </c>
    </row>
    <row r="26" spans="1:7" ht="15" customHeight="1">
      <c r="A26" s="245">
        <v>21</v>
      </c>
      <c r="B26" s="252" t="s">
        <v>52</v>
      </c>
      <c r="D26" s="277">
        <v>227</v>
      </c>
      <c r="E26" s="277">
        <v>500</v>
      </c>
      <c r="F26" s="277">
        <v>4415</v>
      </c>
      <c r="G26" s="277">
        <v>8665.95</v>
      </c>
    </row>
    <row r="27" spans="1:7" ht="15" customHeight="1">
      <c r="A27" s="249"/>
      <c r="B27" s="254" t="s">
        <v>293</v>
      </c>
      <c r="D27" s="280">
        <f>SUM(D6:D26)</f>
        <v>49680</v>
      </c>
      <c r="E27" s="280">
        <f>SUM(E6:E26)</f>
        <v>100457.19000000002</v>
      </c>
      <c r="F27" s="280">
        <f>SUM(F6:F26)</f>
        <v>1078027</v>
      </c>
      <c r="G27" s="280">
        <f>SUM(G6:G26)</f>
        <v>1735033.5445723</v>
      </c>
    </row>
    <row r="28" spans="1:7" ht="15" customHeight="1">
      <c r="A28" s="245">
        <v>22</v>
      </c>
      <c r="B28" s="252" t="s">
        <v>294</v>
      </c>
      <c r="D28" s="277">
        <v>0</v>
      </c>
      <c r="E28" s="277">
        <v>0</v>
      </c>
      <c r="F28" s="277">
        <v>0</v>
      </c>
      <c r="G28" s="277">
        <v>0</v>
      </c>
    </row>
    <row r="29" spans="1:7" ht="15" customHeight="1">
      <c r="A29" s="245">
        <v>23</v>
      </c>
      <c r="B29" s="252" t="s">
        <v>295</v>
      </c>
      <c r="D29" s="277">
        <v>0</v>
      </c>
      <c r="E29" s="277">
        <v>0</v>
      </c>
      <c r="F29" s="277">
        <v>0</v>
      </c>
      <c r="G29" s="277">
        <v>0</v>
      </c>
    </row>
    <row r="30" spans="1:7" ht="15" customHeight="1">
      <c r="A30" s="245">
        <v>24</v>
      </c>
      <c r="B30" s="252" t="s">
        <v>296</v>
      </c>
      <c r="D30" s="277">
        <v>0</v>
      </c>
      <c r="E30" s="277">
        <v>0</v>
      </c>
      <c r="F30" s="277">
        <v>0</v>
      </c>
      <c r="G30" s="277">
        <v>0</v>
      </c>
    </row>
    <row r="31" spans="1:7" ht="15" customHeight="1">
      <c r="A31" s="245">
        <v>25</v>
      </c>
      <c r="B31" s="278" t="s">
        <v>297</v>
      </c>
      <c r="D31" s="277">
        <v>0</v>
      </c>
      <c r="E31" s="277">
        <v>0</v>
      </c>
      <c r="F31" s="277">
        <v>0</v>
      </c>
      <c r="G31" s="277">
        <v>0</v>
      </c>
    </row>
    <row r="32" spans="1:7" ht="15" customHeight="1">
      <c r="A32" s="245">
        <v>26</v>
      </c>
      <c r="B32" s="252" t="s">
        <v>298</v>
      </c>
      <c r="D32" s="277">
        <v>18</v>
      </c>
      <c r="E32" s="277">
        <v>7.72</v>
      </c>
      <c r="F32" s="277">
        <v>212</v>
      </c>
      <c r="G32" s="277">
        <v>156.19</v>
      </c>
    </row>
    <row r="33" spans="1:7" ht="15" customHeight="1">
      <c r="A33" s="245">
        <v>27</v>
      </c>
      <c r="B33" s="252" t="s">
        <v>72</v>
      </c>
      <c r="D33" s="277">
        <v>71884</v>
      </c>
      <c r="E33" s="277">
        <v>108600</v>
      </c>
      <c r="F33" s="277">
        <v>550218</v>
      </c>
      <c r="G33" s="277">
        <v>976183</v>
      </c>
    </row>
    <row r="34" spans="1:7" ht="15" customHeight="1">
      <c r="A34" s="249"/>
      <c r="B34" s="254" t="s">
        <v>299</v>
      </c>
      <c r="D34" s="280">
        <f>SUM(D28:D33)</f>
        <v>71902</v>
      </c>
      <c r="E34" s="280">
        <f>SUM(E28:E33)</f>
        <v>108607.72</v>
      </c>
      <c r="F34" s="280">
        <f>SUM(F28:F33)</f>
        <v>550430</v>
      </c>
      <c r="G34" s="280">
        <f>SUM(G28:G33)</f>
        <v>976339.19</v>
      </c>
    </row>
    <row r="35" spans="1:7" ht="15" customHeight="1">
      <c r="A35" s="245">
        <v>28</v>
      </c>
      <c r="B35" s="252" t="s">
        <v>49</v>
      </c>
      <c r="D35" s="277">
        <v>474</v>
      </c>
      <c r="E35" s="277">
        <v>1993</v>
      </c>
      <c r="F35" s="277">
        <v>3569</v>
      </c>
      <c r="G35" s="277">
        <v>16702</v>
      </c>
    </row>
    <row r="36" spans="1:7" ht="15" customHeight="1">
      <c r="A36" s="245">
        <v>29</v>
      </c>
      <c r="B36" s="252" t="s">
        <v>53</v>
      </c>
      <c r="D36" s="277">
        <v>0</v>
      </c>
      <c r="E36" s="277">
        <v>0</v>
      </c>
      <c r="F36" s="277">
        <v>0</v>
      </c>
      <c r="G36" s="277">
        <v>0</v>
      </c>
    </row>
    <row r="37" spans="1:7" ht="15" customHeight="1">
      <c r="A37" s="245">
        <v>30</v>
      </c>
      <c r="B37" s="252" t="s">
        <v>300</v>
      </c>
      <c r="D37" s="277">
        <v>0</v>
      </c>
      <c r="E37" s="277">
        <v>0</v>
      </c>
      <c r="F37" s="277">
        <v>0</v>
      </c>
      <c r="G37" s="277">
        <v>0</v>
      </c>
    </row>
    <row r="38" spans="1:7" ht="15" customHeight="1">
      <c r="A38" s="245">
        <v>31</v>
      </c>
      <c r="B38" s="252" t="s">
        <v>301</v>
      </c>
      <c r="D38" s="277">
        <v>0</v>
      </c>
      <c r="E38" s="277">
        <v>0</v>
      </c>
      <c r="F38" s="277">
        <v>0</v>
      </c>
      <c r="G38" s="277">
        <v>0</v>
      </c>
    </row>
    <row r="39" spans="1:7" ht="15" customHeight="1">
      <c r="A39" s="245">
        <v>32</v>
      </c>
      <c r="B39" s="252" t="s">
        <v>302</v>
      </c>
      <c r="D39" s="277">
        <v>7</v>
      </c>
      <c r="E39" s="277">
        <v>17</v>
      </c>
      <c r="F39" s="277">
        <v>119</v>
      </c>
      <c r="G39" s="277">
        <v>942</v>
      </c>
    </row>
    <row r="40" spans="1:7" ht="15" customHeight="1">
      <c r="A40" s="245">
        <v>33</v>
      </c>
      <c r="B40" s="252" t="s">
        <v>303</v>
      </c>
      <c r="D40" s="277">
        <v>9740</v>
      </c>
      <c r="E40" s="277">
        <v>33417</v>
      </c>
      <c r="F40" s="277">
        <v>115746</v>
      </c>
      <c r="G40" s="277">
        <v>239957</v>
      </c>
    </row>
    <row r="41" spans="1:7" ht="15" customHeight="1">
      <c r="A41" s="245">
        <v>34</v>
      </c>
      <c r="B41" s="252" t="s">
        <v>304</v>
      </c>
      <c r="D41" s="277">
        <v>34887</v>
      </c>
      <c r="E41" s="277">
        <v>53886</v>
      </c>
      <c r="F41" s="277">
        <v>122913</v>
      </c>
      <c r="G41" s="277">
        <v>229901</v>
      </c>
    </row>
    <row r="42" spans="1:7" ht="15" customHeight="1">
      <c r="A42" s="245">
        <v>35</v>
      </c>
      <c r="B42" s="252" t="s">
        <v>305</v>
      </c>
      <c r="D42" s="277">
        <v>0</v>
      </c>
      <c r="E42" s="277">
        <v>0</v>
      </c>
      <c r="F42" s="277">
        <v>0</v>
      </c>
      <c r="G42" s="277">
        <v>0</v>
      </c>
    </row>
    <row r="43" spans="1:7" ht="15" customHeight="1">
      <c r="A43" s="245">
        <v>36</v>
      </c>
      <c r="B43" s="252" t="s">
        <v>255</v>
      </c>
      <c r="D43" s="277">
        <v>0</v>
      </c>
      <c r="E43" s="277">
        <v>0</v>
      </c>
      <c r="F43" s="277">
        <v>0</v>
      </c>
      <c r="G43" s="277">
        <v>0</v>
      </c>
    </row>
    <row r="44" spans="1:7" ht="15" customHeight="1">
      <c r="A44" s="245">
        <v>37</v>
      </c>
      <c r="B44" s="252" t="s">
        <v>306</v>
      </c>
      <c r="D44" s="277">
        <v>0</v>
      </c>
      <c r="E44" s="277">
        <v>0</v>
      </c>
      <c r="F44" s="277">
        <v>0</v>
      </c>
      <c r="G44" s="277">
        <v>0</v>
      </c>
    </row>
    <row r="45" spans="1:7" ht="15" customHeight="1">
      <c r="A45" s="245">
        <v>38</v>
      </c>
      <c r="B45" s="252" t="s">
        <v>307</v>
      </c>
      <c r="D45" s="277">
        <v>0</v>
      </c>
      <c r="E45" s="277">
        <v>0</v>
      </c>
      <c r="F45" s="277">
        <v>0</v>
      </c>
      <c r="G45" s="277">
        <v>0</v>
      </c>
    </row>
    <row r="46" spans="1:7" ht="15" customHeight="1">
      <c r="A46" s="245">
        <v>39</v>
      </c>
      <c r="B46" s="252" t="s">
        <v>95</v>
      </c>
      <c r="D46" s="277">
        <v>0</v>
      </c>
      <c r="E46" s="277">
        <v>0</v>
      </c>
      <c r="F46" s="277">
        <v>0</v>
      </c>
      <c r="G46" s="277">
        <v>0</v>
      </c>
    </row>
    <row r="47" spans="1:7" ht="15" customHeight="1">
      <c r="A47" s="245">
        <v>40</v>
      </c>
      <c r="B47" s="252" t="s">
        <v>308</v>
      </c>
      <c r="D47" s="277">
        <v>0</v>
      </c>
      <c r="E47" s="277">
        <v>0</v>
      </c>
      <c r="F47" s="277">
        <v>0</v>
      </c>
      <c r="G47" s="277">
        <v>0</v>
      </c>
    </row>
    <row r="48" spans="1:7" ht="15" customHeight="1">
      <c r="A48" s="245">
        <v>41</v>
      </c>
      <c r="B48" s="252" t="s">
        <v>309</v>
      </c>
      <c r="D48" s="277">
        <v>0</v>
      </c>
      <c r="E48" s="277">
        <v>0</v>
      </c>
      <c r="F48" s="277">
        <v>0</v>
      </c>
      <c r="G48" s="277">
        <v>0</v>
      </c>
    </row>
    <row r="49" spans="1:7" ht="15" customHeight="1">
      <c r="A49" s="245">
        <v>42</v>
      </c>
      <c r="B49" s="279" t="s">
        <v>310</v>
      </c>
      <c r="D49" s="277">
        <v>0</v>
      </c>
      <c r="E49" s="277">
        <v>0</v>
      </c>
      <c r="F49" s="277">
        <v>0</v>
      </c>
      <c r="G49" s="277">
        <v>0</v>
      </c>
    </row>
    <row r="50" spans="1:7" ht="15" customHeight="1">
      <c r="A50" s="245">
        <v>43</v>
      </c>
      <c r="B50" s="252" t="s">
        <v>311</v>
      </c>
      <c r="D50" s="277">
        <v>0</v>
      </c>
      <c r="E50" s="277">
        <v>0</v>
      </c>
      <c r="F50" s="277">
        <v>0</v>
      </c>
      <c r="G50" s="277">
        <v>0</v>
      </c>
    </row>
    <row r="51" spans="1:7" ht="15" customHeight="1">
      <c r="A51" s="245">
        <v>44</v>
      </c>
      <c r="B51" s="252" t="s">
        <v>78</v>
      </c>
      <c r="D51" s="277">
        <v>0</v>
      </c>
      <c r="E51" s="277">
        <v>0</v>
      </c>
      <c r="F51" s="277">
        <v>0</v>
      </c>
      <c r="G51" s="277">
        <v>0</v>
      </c>
    </row>
    <row r="52" spans="1:7" ht="15" customHeight="1">
      <c r="A52" s="254"/>
      <c r="B52" s="254" t="s">
        <v>274</v>
      </c>
      <c r="D52" s="280">
        <f>SUM(D35:D51)</f>
        <v>45108</v>
      </c>
      <c r="E52" s="280">
        <f>SUM(E35:E51)</f>
        <v>89313</v>
      </c>
      <c r="F52" s="280">
        <f>SUM(F35:F51)</f>
        <v>242347</v>
      </c>
      <c r="G52" s="280">
        <f>SUM(G35:G51)</f>
        <v>487502</v>
      </c>
    </row>
    <row r="53" spans="1:9" ht="15" customHeight="1">
      <c r="A53" s="245">
        <v>45</v>
      </c>
      <c r="B53" s="252" t="s">
        <v>48</v>
      </c>
      <c r="D53" s="277">
        <v>2437</v>
      </c>
      <c r="E53" s="277">
        <v>4493</v>
      </c>
      <c r="F53" s="277">
        <v>125198</v>
      </c>
      <c r="G53" s="277">
        <v>191427</v>
      </c>
      <c r="H53" s="37">
        <v>313576</v>
      </c>
      <c r="I53" s="37">
        <v>194962</v>
      </c>
    </row>
    <row r="54" spans="1:7" ht="15" customHeight="1">
      <c r="A54" s="245">
        <v>46</v>
      </c>
      <c r="B54" s="252" t="s">
        <v>269</v>
      </c>
      <c r="D54" s="277">
        <v>7241</v>
      </c>
      <c r="E54" s="277">
        <v>42878</v>
      </c>
      <c r="F54" s="277">
        <v>208440</v>
      </c>
      <c r="G54" s="277">
        <v>145115</v>
      </c>
    </row>
    <row r="55" spans="1:7" ht="15" customHeight="1">
      <c r="A55" s="245">
        <v>47</v>
      </c>
      <c r="B55" s="252" t="s">
        <v>54</v>
      </c>
      <c r="D55" s="277">
        <v>3770</v>
      </c>
      <c r="E55" s="277">
        <v>101369</v>
      </c>
      <c r="F55" s="277">
        <v>185703</v>
      </c>
      <c r="G55" s="277">
        <v>276488</v>
      </c>
    </row>
    <row r="56" spans="1:7" ht="15" customHeight="1">
      <c r="A56" s="254"/>
      <c r="B56" s="254" t="s">
        <v>270</v>
      </c>
      <c r="D56" s="280">
        <f>SUM(D53:D55)</f>
        <v>13448</v>
      </c>
      <c r="E56" s="280">
        <f>SUM(E53:E55)</f>
        <v>148740</v>
      </c>
      <c r="F56" s="280">
        <f>SUM(F53:F55)</f>
        <v>519341</v>
      </c>
      <c r="G56" s="280">
        <f>SUM(G53:G55)</f>
        <v>613030</v>
      </c>
    </row>
    <row r="57" spans="1:7" ht="15" customHeight="1">
      <c r="A57" s="245">
        <v>48</v>
      </c>
      <c r="B57" s="252" t="s">
        <v>312</v>
      </c>
      <c r="D57" s="277">
        <v>18265</v>
      </c>
      <c r="E57" s="277">
        <v>562931</v>
      </c>
      <c r="F57" s="277">
        <v>5280799</v>
      </c>
      <c r="G57" s="277">
        <v>1048412</v>
      </c>
    </row>
    <row r="58" spans="1:7" ht="15" customHeight="1">
      <c r="A58" s="254"/>
      <c r="B58" s="254" t="s">
        <v>275</v>
      </c>
      <c r="D58" s="280">
        <f>D57</f>
        <v>18265</v>
      </c>
      <c r="E58" s="280">
        <f>E57</f>
        <v>562931</v>
      </c>
      <c r="F58" s="280">
        <f>F57</f>
        <v>5280799</v>
      </c>
      <c r="G58" s="280">
        <f>G57</f>
        <v>1048412</v>
      </c>
    </row>
    <row r="59" spans="1:7" ht="15" customHeight="1">
      <c r="A59" s="254"/>
      <c r="B59" s="254" t="s">
        <v>276</v>
      </c>
      <c r="D59" s="280">
        <f>D58+D56+D52+D34+D27</f>
        <v>198403</v>
      </c>
      <c r="E59" s="280">
        <f>E58+E56+E52+E34+E27</f>
        <v>1010048.91</v>
      </c>
      <c r="F59" s="280">
        <f>F58+F56+F52+F34+F27</f>
        <v>7670944</v>
      </c>
      <c r="G59" s="280">
        <f>G58+G56+G52+G34+G27</f>
        <v>4860316.7345723</v>
      </c>
    </row>
    <row r="62" spans="6:7" ht="18.75">
      <c r="F62" s="48">
        <v>7825438</v>
      </c>
      <c r="G62" s="45">
        <v>4856046</v>
      </c>
    </row>
  </sheetData>
  <sheetProtection/>
  <mergeCells count="8">
    <mergeCell ref="A1:G1"/>
    <mergeCell ref="A2:G2"/>
    <mergeCell ref="A4:A5"/>
    <mergeCell ref="B4:B5"/>
    <mergeCell ref="D4:D5"/>
    <mergeCell ref="E4:E5"/>
    <mergeCell ref="F4:F5"/>
    <mergeCell ref="G4:G5"/>
  </mergeCells>
  <conditionalFormatting sqref="B6">
    <cfRule type="duplicateValues" priority="1" dxfId="197">
      <formula>AND(COUNTIF($B$6:$B$6,B6)&gt;1,NOT(ISBLANK(B6)))</formula>
    </cfRule>
  </conditionalFormatting>
  <conditionalFormatting sqref="B22">
    <cfRule type="duplicateValues" priority="2" dxfId="197">
      <formula>AND(COUNTIF($B$22:$B$22,B22)&gt;1,NOT(ISBLANK(B22)))</formula>
    </cfRule>
  </conditionalFormatting>
  <conditionalFormatting sqref="B33:B34 B26:B30">
    <cfRule type="duplicateValues" priority="3" dxfId="197">
      <formula>AND(COUNTIF($B$33:$B$34,B26)+COUNTIF($B$26:$B$30,B26)&gt;1,NOT(ISBLANK(B26)))</formula>
    </cfRule>
  </conditionalFormatting>
  <conditionalFormatting sqref="B52">
    <cfRule type="duplicateValues" priority="4" dxfId="197">
      <formula>AND(COUNTIF($B$52:$B$52,B52)&gt;1,NOT(ISBLANK(B52)))</formula>
    </cfRule>
  </conditionalFormatting>
  <conditionalFormatting sqref="B56">
    <cfRule type="duplicateValues" priority="5" dxfId="197">
      <formula>AND(COUNTIF($B$56:$B$56,B56)&gt;1,NOT(ISBLANK(B56)))</formula>
    </cfRule>
  </conditionalFormatting>
  <conditionalFormatting sqref="B58">
    <cfRule type="duplicateValues" priority="6" dxfId="197">
      <formula>AND(COUNTIF($B$58:$B$58,B58)&gt;1,NOT(ISBLANK(B58)))</formula>
    </cfRule>
  </conditionalFormatting>
  <printOptions/>
  <pageMargins left="1.2" right="0.7" top="0.39" bottom="0.32" header="0.3" footer="0.3"/>
  <pageSetup horizontalDpi="600" verticalDpi="600" orientation="portrait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U59"/>
  <sheetViews>
    <sheetView view="pageBreakPreview" zoomScale="60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9" sqref="H9"/>
    </sheetView>
  </sheetViews>
  <sheetFormatPr defaultColWidth="9.140625" defaultRowHeight="12.75"/>
  <cols>
    <col min="1" max="1" width="7.8515625" style="59" customWidth="1"/>
    <col min="2" max="2" width="24.421875" style="59" bestFit="1" customWidth="1"/>
    <col min="3" max="4" width="9.140625" style="298" customWidth="1"/>
    <col min="5" max="5" width="10.00390625" style="298" customWidth="1"/>
    <col min="6" max="6" width="7.7109375" style="298" bestFit="1" customWidth="1"/>
    <col min="7" max="7" width="9.00390625" style="298" bestFit="1" customWidth="1"/>
    <col min="8" max="8" width="6.57421875" style="298" bestFit="1" customWidth="1"/>
    <col min="9" max="9" width="7.28125" style="298" bestFit="1" customWidth="1"/>
    <col min="10" max="10" width="7.57421875" style="298" bestFit="1" customWidth="1"/>
    <col min="11" max="11" width="8.421875" style="298" bestFit="1" customWidth="1"/>
    <col min="12" max="12" width="5.8515625" style="298" bestFit="1" customWidth="1"/>
    <col min="13" max="13" width="7.28125" style="298" bestFit="1" customWidth="1"/>
    <col min="14" max="14" width="6.28125" style="298" bestFit="1" customWidth="1"/>
    <col min="15" max="15" width="8.140625" style="298" bestFit="1" customWidth="1"/>
    <col min="16" max="16" width="9.7109375" style="298" bestFit="1" customWidth="1"/>
    <col min="17" max="17" width="10.140625" style="298" bestFit="1" customWidth="1"/>
    <col min="18" max="18" width="9.00390625" style="298" bestFit="1" customWidth="1"/>
    <col min="19" max="19" width="9.140625" style="298" bestFit="1" customWidth="1"/>
    <col min="20" max="16384" width="9.140625" style="59" customWidth="1"/>
  </cols>
  <sheetData>
    <row r="1" spans="1:19" s="65" customFormat="1" ht="19.5" customHeight="1">
      <c r="A1" s="646" t="s">
        <v>227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</row>
    <row r="2" spans="2:17" ht="15" customHeight="1" thickBot="1">
      <c r="B2" s="647" t="s">
        <v>141</v>
      </c>
      <c r="C2" s="647"/>
      <c r="D2" s="303"/>
      <c r="P2" s="648" t="s">
        <v>232</v>
      </c>
      <c r="Q2" s="648"/>
    </row>
    <row r="3" spans="1:19" ht="60.75" thickBot="1">
      <c r="A3" s="66" t="s">
        <v>233</v>
      </c>
      <c r="B3" s="60" t="s">
        <v>339</v>
      </c>
      <c r="C3" s="637" t="s">
        <v>340</v>
      </c>
      <c r="D3" s="638"/>
      <c r="E3" s="305" t="s">
        <v>234</v>
      </c>
      <c r="F3" s="637" t="s">
        <v>345</v>
      </c>
      <c r="G3" s="642"/>
      <c r="H3" s="643" t="s">
        <v>228</v>
      </c>
      <c r="I3" s="642"/>
      <c r="J3" s="643" t="s">
        <v>235</v>
      </c>
      <c r="K3" s="642"/>
      <c r="L3" s="644" t="s">
        <v>223</v>
      </c>
      <c r="M3" s="645"/>
      <c r="N3" s="643" t="s">
        <v>229</v>
      </c>
      <c r="O3" s="642"/>
      <c r="P3" s="640" t="s">
        <v>236</v>
      </c>
      <c r="Q3" s="641"/>
      <c r="R3" s="640" t="s">
        <v>230</v>
      </c>
      <c r="S3" s="641"/>
    </row>
    <row r="4" spans="1:19" ht="15.75" thickBot="1">
      <c r="A4" s="61">
        <v>1</v>
      </c>
      <c r="B4" s="62">
        <v>2</v>
      </c>
      <c r="C4" s="299">
        <v>3</v>
      </c>
      <c r="D4" s="299"/>
      <c r="E4" s="299">
        <v>4</v>
      </c>
      <c r="F4" s="637">
        <v>5</v>
      </c>
      <c r="G4" s="642"/>
      <c r="H4" s="643">
        <v>6</v>
      </c>
      <c r="I4" s="642"/>
      <c r="J4" s="643">
        <v>7</v>
      </c>
      <c r="K4" s="642"/>
      <c r="L4" s="643">
        <v>8</v>
      </c>
      <c r="M4" s="642"/>
      <c r="N4" s="643">
        <v>9</v>
      </c>
      <c r="O4" s="642"/>
      <c r="P4" s="640">
        <v>10</v>
      </c>
      <c r="Q4" s="641"/>
      <c r="R4" s="640">
        <v>11</v>
      </c>
      <c r="S4" s="641"/>
    </row>
    <row r="5" spans="1:19" ht="15.75" thickBot="1">
      <c r="A5" s="63"/>
      <c r="B5" s="64" t="s">
        <v>231</v>
      </c>
      <c r="C5" s="300" t="s">
        <v>30</v>
      </c>
      <c r="D5" s="300" t="s">
        <v>17</v>
      </c>
      <c r="E5" s="300"/>
      <c r="F5" s="300" t="s">
        <v>16</v>
      </c>
      <c r="G5" s="300" t="s">
        <v>101</v>
      </c>
      <c r="H5" s="300" t="s">
        <v>16</v>
      </c>
      <c r="I5" s="300" t="s">
        <v>101</v>
      </c>
      <c r="J5" s="300" t="s">
        <v>16</v>
      </c>
      <c r="K5" s="300" t="s">
        <v>101</v>
      </c>
      <c r="L5" s="300" t="s">
        <v>16</v>
      </c>
      <c r="M5" s="300" t="s">
        <v>101</v>
      </c>
      <c r="N5" s="300" t="s">
        <v>224</v>
      </c>
      <c r="O5" s="300" t="s">
        <v>225</v>
      </c>
      <c r="P5" s="301" t="s">
        <v>226</v>
      </c>
      <c r="Q5" s="301" t="s">
        <v>101</v>
      </c>
      <c r="R5" s="301" t="s">
        <v>16</v>
      </c>
      <c r="S5" s="301" t="s">
        <v>101</v>
      </c>
    </row>
    <row r="6" spans="1:21" ht="13.5">
      <c r="A6" s="245">
        <v>1</v>
      </c>
      <c r="B6" s="246" t="s">
        <v>57</v>
      </c>
      <c r="C6" s="302">
        <v>588</v>
      </c>
      <c r="D6" s="302">
        <v>1176</v>
      </c>
      <c r="E6" s="302">
        <v>137</v>
      </c>
      <c r="F6" s="302">
        <v>215</v>
      </c>
      <c r="G6" s="302">
        <v>734.31</v>
      </c>
      <c r="H6" s="302">
        <v>58</v>
      </c>
      <c r="I6" s="302">
        <v>310.83</v>
      </c>
      <c r="J6" s="302">
        <v>137</v>
      </c>
      <c r="K6" s="302">
        <v>237.5</v>
      </c>
      <c r="L6" s="302">
        <v>0</v>
      </c>
      <c r="M6" s="302">
        <v>0</v>
      </c>
      <c r="N6" s="302">
        <v>0</v>
      </c>
      <c r="O6" s="302">
        <v>0</v>
      </c>
      <c r="P6" s="302">
        <f>'Pri Sec_outstanding_6'!E6</f>
        <v>3460</v>
      </c>
      <c r="Q6" s="302">
        <f>'Pri Sec_outstanding_6'!F6</f>
        <v>8467.68</v>
      </c>
      <c r="R6" s="302">
        <v>857</v>
      </c>
      <c r="S6" s="302">
        <v>1186</v>
      </c>
      <c r="T6" s="298"/>
      <c r="U6" s="639"/>
    </row>
    <row r="7" spans="1:21" ht="13.5">
      <c r="A7" s="245">
        <v>2</v>
      </c>
      <c r="B7" s="246" t="s">
        <v>58</v>
      </c>
      <c r="C7" s="302">
        <v>90</v>
      </c>
      <c r="D7" s="302">
        <v>180</v>
      </c>
      <c r="E7" s="302">
        <v>2</v>
      </c>
      <c r="F7" s="302">
        <v>18</v>
      </c>
      <c r="G7" s="302">
        <v>26</v>
      </c>
      <c r="H7" s="302">
        <v>1</v>
      </c>
      <c r="I7" s="302">
        <v>5</v>
      </c>
      <c r="J7" s="302">
        <v>2</v>
      </c>
      <c r="K7" s="302">
        <v>8</v>
      </c>
      <c r="L7" s="302">
        <v>0</v>
      </c>
      <c r="M7" s="302">
        <v>0</v>
      </c>
      <c r="N7" s="302">
        <v>0</v>
      </c>
      <c r="O7" s="302">
        <v>0</v>
      </c>
      <c r="P7" s="302">
        <f>'Pri Sec_outstanding_6'!E7</f>
        <v>156</v>
      </c>
      <c r="Q7" s="302">
        <f>'Pri Sec_outstanding_6'!F7</f>
        <v>481</v>
      </c>
      <c r="R7" s="302">
        <v>54</v>
      </c>
      <c r="S7" s="302">
        <v>237</v>
      </c>
      <c r="T7" s="298"/>
      <c r="U7" s="639"/>
    </row>
    <row r="8" spans="1:21" ht="13.5">
      <c r="A8" s="245">
        <v>3</v>
      </c>
      <c r="B8" s="246" t="s">
        <v>59</v>
      </c>
      <c r="C8" s="302">
        <v>531</v>
      </c>
      <c r="D8" s="302">
        <v>1062</v>
      </c>
      <c r="E8" s="302"/>
      <c r="F8" s="302">
        <v>118</v>
      </c>
      <c r="G8" s="302">
        <v>543.54</v>
      </c>
      <c r="H8" s="302">
        <v>49</v>
      </c>
      <c r="I8" s="302">
        <v>271.71000000000004</v>
      </c>
      <c r="J8" s="302">
        <v>100</v>
      </c>
      <c r="K8" s="302">
        <v>249.68</v>
      </c>
      <c r="L8" s="302">
        <v>44</v>
      </c>
      <c r="M8" s="302">
        <v>67.7</v>
      </c>
      <c r="N8" s="302">
        <v>0</v>
      </c>
      <c r="O8" s="302">
        <v>0</v>
      </c>
      <c r="P8" s="302">
        <f>'Pri Sec_outstanding_6'!E8</f>
        <v>2232</v>
      </c>
      <c r="Q8" s="302">
        <f>'Pri Sec_outstanding_6'!F8</f>
        <v>5107</v>
      </c>
      <c r="R8" s="302">
        <v>915</v>
      </c>
      <c r="S8" s="302">
        <v>2064.28</v>
      </c>
      <c r="T8" s="298"/>
      <c r="U8" s="639"/>
    </row>
    <row r="9" spans="1:21" ht="13.5">
      <c r="A9" s="245">
        <v>4</v>
      </c>
      <c r="B9" s="246" t="s">
        <v>60</v>
      </c>
      <c r="C9" s="302">
        <v>1287</v>
      </c>
      <c r="D9" s="302">
        <v>2574</v>
      </c>
      <c r="E9" s="302">
        <v>823</v>
      </c>
      <c r="F9" s="302">
        <v>823</v>
      </c>
      <c r="G9" s="302">
        <v>593</v>
      </c>
      <c r="H9" s="302">
        <v>288</v>
      </c>
      <c r="I9" s="302">
        <v>195</v>
      </c>
      <c r="J9" s="302">
        <v>793</v>
      </c>
      <c r="K9" s="302">
        <v>546.5975988</v>
      </c>
      <c r="L9" s="302">
        <v>60</v>
      </c>
      <c r="M9" s="302">
        <v>249</v>
      </c>
      <c r="N9" s="302">
        <v>27</v>
      </c>
      <c r="O9" s="302">
        <v>189</v>
      </c>
      <c r="P9" s="302">
        <f>'Pri Sec_outstanding_6'!E9</f>
        <v>10066</v>
      </c>
      <c r="Q9" s="302">
        <f>'Pri Sec_outstanding_6'!F9</f>
        <v>21823.66</v>
      </c>
      <c r="R9" s="302">
        <v>2474</v>
      </c>
      <c r="S9" s="302">
        <v>6938</v>
      </c>
      <c r="T9" s="298"/>
      <c r="U9" s="639"/>
    </row>
    <row r="10" spans="1:21" ht="13.5">
      <c r="A10" s="245">
        <v>5</v>
      </c>
      <c r="B10" s="246" t="s">
        <v>61</v>
      </c>
      <c r="C10" s="302">
        <v>429</v>
      </c>
      <c r="D10" s="302">
        <v>858</v>
      </c>
      <c r="E10" s="302">
        <v>82</v>
      </c>
      <c r="F10" s="302">
        <v>58</v>
      </c>
      <c r="G10" s="302">
        <v>423</v>
      </c>
      <c r="H10" s="302">
        <v>25</v>
      </c>
      <c r="I10" s="302">
        <v>204</v>
      </c>
      <c r="J10" s="302">
        <v>58</v>
      </c>
      <c r="K10" s="302">
        <v>123</v>
      </c>
      <c r="L10" s="302">
        <v>0</v>
      </c>
      <c r="M10" s="302">
        <v>0</v>
      </c>
      <c r="N10" s="302">
        <v>0</v>
      </c>
      <c r="O10" s="302">
        <v>0</v>
      </c>
      <c r="P10" s="302">
        <f>'Pri Sec_outstanding_6'!E10</f>
        <v>1459</v>
      </c>
      <c r="Q10" s="302">
        <f>'Pri Sec_outstanding_6'!F10</f>
        <v>4601</v>
      </c>
      <c r="R10" s="302">
        <v>482</v>
      </c>
      <c r="S10" s="302">
        <v>1489</v>
      </c>
      <c r="T10" s="298"/>
      <c r="U10" s="639"/>
    </row>
    <row r="11" spans="1:21" ht="16.5" customHeight="1">
      <c r="A11" s="245">
        <v>6</v>
      </c>
      <c r="B11" s="248" t="s">
        <v>289</v>
      </c>
      <c r="C11" s="302">
        <v>9</v>
      </c>
      <c r="D11" s="302">
        <v>18</v>
      </c>
      <c r="E11" s="302">
        <v>0</v>
      </c>
      <c r="F11" s="302">
        <v>12</v>
      </c>
      <c r="G11" s="302">
        <v>43.66</v>
      </c>
      <c r="H11" s="302">
        <v>9</v>
      </c>
      <c r="I11" s="302">
        <v>34.16</v>
      </c>
      <c r="J11" s="302">
        <v>12</v>
      </c>
      <c r="K11" s="302">
        <v>24.16</v>
      </c>
      <c r="L11" s="302">
        <v>0</v>
      </c>
      <c r="M11" s="302">
        <v>0</v>
      </c>
      <c r="N11" s="302">
        <v>0</v>
      </c>
      <c r="O11" s="302">
        <v>0</v>
      </c>
      <c r="P11" s="302">
        <f>'Pri Sec_outstanding_6'!E11</f>
        <v>11</v>
      </c>
      <c r="Q11" s="302">
        <f>'Pri Sec_outstanding_6'!F11</f>
        <v>21.64</v>
      </c>
      <c r="R11" s="302">
        <v>9</v>
      </c>
      <c r="S11" s="302">
        <v>19.24</v>
      </c>
      <c r="T11" s="298"/>
      <c r="U11" s="639"/>
    </row>
    <row r="12" spans="1:21" ht="13.5">
      <c r="A12" s="245">
        <v>7</v>
      </c>
      <c r="B12" s="246" t="s">
        <v>62</v>
      </c>
      <c r="C12" s="302">
        <v>366</v>
      </c>
      <c r="D12" s="302">
        <v>732</v>
      </c>
      <c r="E12" s="302">
        <v>105</v>
      </c>
      <c r="F12" s="302">
        <v>86</v>
      </c>
      <c r="G12" s="302">
        <v>679</v>
      </c>
      <c r="H12" s="302">
        <v>45</v>
      </c>
      <c r="I12" s="302">
        <v>386</v>
      </c>
      <c r="J12" s="302">
        <v>83</v>
      </c>
      <c r="K12" s="302">
        <v>643</v>
      </c>
      <c r="L12" s="302">
        <v>4</v>
      </c>
      <c r="M12" s="302">
        <v>17</v>
      </c>
      <c r="N12" s="302">
        <v>0</v>
      </c>
      <c r="O12" s="302">
        <v>0</v>
      </c>
      <c r="P12" s="302">
        <f>'Pri Sec_outstanding_6'!E12</f>
        <v>2247</v>
      </c>
      <c r="Q12" s="302">
        <f>'Pri Sec_outstanding_6'!F12</f>
        <v>6088</v>
      </c>
      <c r="R12" s="302">
        <v>1135</v>
      </c>
      <c r="S12" s="302">
        <v>2882</v>
      </c>
      <c r="T12" s="298"/>
      <c r="U12" s="639"/>
    </row>
    <row r="13" spans="1:21" ht="13.5">
      <c r="A13" s="245">
        <v>8</v>
      </c>
      <c r="B13" s="246" t="s">
        <v>63</v>
      </c>
      <c r="C13" s="302">
        <v>1293</v>
      </c>
      <c r="D13" s="302">
        <v>2586</v>
      </c>
      <c r="E13" s="302"/>
      <c r="F13" s="302">
        <v>173</v>
      </c>
      <c r="G13" s="302">
        <v>189</v>
      </c>
      <c r="H13" s="302">
        <v>55</v>
      </c>
      <c r="I13" s="302">
        <v>63</v>
      </c>
      <c r="J13" s="302">
        <v>124</v>
      </c>
      <c r="K13" s="302">
        <v>189</v>
      </c>
      <c r="L13" s="302">
        <v>0</v>
      </c>
      <c r="M13" s="302">
        <v>0</v>
      </c>
      <c r="N13" s="302">
        <v>0</v>
      </c>
      <c r="O13" s="302">
        <v>0</v>
      </c>
      <c r="P13" s="302">
        <v>8567</v>
      </c>
      <c r="Q13" s="302">
        <f>'Pri Sec_outstanding_6'!F13</f>
        <v>24033</v>
      </c>
      <c r="R13" s="302">
        <v>2461</v>
      </c>
      <c r="S13" s="302">
        <v>5541</v>
      </c>
      <c r="T13" s="298"/>
      <c r="U13" s="639"/>
    </row>
    <row r="14" spans="1:21" ht="13.5">
      <c r="A14" s="245">
        <v>9</v>
      </c>
      <c r="B14" s="246" t="s">
        <v>50</v>
      </c>
      <c r="C14" s="302">
        <v>123</v>
      </c>
      <c r="D14" s="302">
        <v>246</v>
      </c>
      <c r="E14" s="302">
        <v>25</v>
      </c>
      <c r="F14" s="302">
        <v>465</v>
      </c>
      <c r="G14" s="302">
        <v>1740</v>
      </c>
      <c r="H14" s="302">
        <v>25</v>
      </c>
      <c r="I14" s="302">
        <v>125</v>
      </c>
      <c r="J14" s="302">
        <v>464</v>
      </c>
      <c r="K14" s="302">
        <v>1380</v>
      </c>
      <c r="L14" s="302">
        <v>0</v>
      </c>
      <c r="M14" s="302">
        <v>0</v>
      </c>
      <c r="N14" s="302">
        <v>0</v>
      </c>
      <c r="O14" s="302">
        <v>0</v>
      </c>
      <c r="P14" s="302">
        <f>'Pri Sec_outstanding_6'!E14</f>
        <v>404</v>
      </c>
      <c r="Q14" s="302">
        <f>'Pri Sec_outstanding_6'!F14</f>
        <v>1255</v>
      </c>
      <c r="R14" s="302">
        <v>25</v>
      </c>
      <c r="S14" s="302">
        <v>125</v>
      </c>
      <c r="T14" s="298"/>
      <c r="U14" s="639"/>
    </row>
    <row r="15" spans="1:21" ht="13.5">
      <c r="A15" s="245">
        <v>10</v>
      </c>
      <c r="B15" s="246" t="s">
        <v>51</v>
      </c>
      <c r="C15" s="302">
        <v>189</v>
      </c>
      <c r="D15" s="302">
        <v>378</v>
      </c>
      <c r="E15" s="302">
        <v>17</v>
      </c>
      <c r="F15" s="302">
        <v>17</v>
      </c>
      <c r="G15" s="302">
        <v>52.02</v>
      </c>
      <c r="H15" s="302">
        <v>5</v>
      </c>
      <c r="I15" s="302">
        <v>9.89</v>
      </c>
      <c r="J15" s="302">
        <v>17</v>
      </c>
      <c r="K15" s="302">
        <v>16.44</v>
      </c>
      <c r="L15" s="302">
        <v>0</v>
      </c>
      <c r="M15" s="302">
        <v>0</v>
      </c>
      <c r="N15" s="302">
        <v>0</v>
      </c>
      <c r="O15" s="302">
        <v>0</v>
      </c>
      <c r="P15" s="302">
        <f>'Pri Sec_outstanding_6'!E15</f>
        <v>787</v>
      </c>
      <c r="Q15" s="302">
        <f>'Pri Sec_outstanding_6'!F15</f>
        <v>1856</v>
      </c>
      <c r="R15" s="302">
        <v>282</v>
      </c>
      <c r="S15" s="302">
        <v>770</v>
      </c>
      <c r="T15" s="298"/>
      <c r="U15" s="639"/>
    </row>
    <row r="16" spans="1:21" ht="13.5">
      <c r="A16" s="245">
        <v>11</v>
      </c>
      <c r="B16" s="246" t="s">
        <v>290</v>
      </c>
      <c r="C16" s="302">
        <v>252</v>
      </c>
      <c r="D16" s="302">
        <v>504</v>
      </c>
      <c r="E16" s="302">
        <v>52</v>
      </c>
      <c r="F16" s="302">
        <v>45</v>
      </c>
      <c r="G16" s="302">
        <v>238</v>
      </c>
      <c r="H16" s="302">
        <v>12</v>
      </c>
      <c r="I16" s="302">
        <v>52</v>
      </c>
      <c r="J16" s="302">
        <v>41</v>
      </c>
      <c r="K16" s="302">
        <v>156</v>
      </c>
      <c r="L16" s="302">
        <v>0</v>
      </c>
      <c r="M16" s="302">
        <v>0</v>
      </c>
      <c r="N16" s="302">
        <v>0</v>
      </c>
      <c r="O16" s="302">
        <v>0</v>
      </c>
      <c r="P16" s="302">
        <f>'Pri Sec_outstanding_6'!E16</f>
        <v>526</v>
      </c>
      <c r="Q16" s="302">
        <f>'Pri Sec_outstanding_6'!F16</f>
        <v>1539</v>
      </c>
      <c r="R16" s="302">
        <v>124</v>
      </c>
      <c r="S16" s="302">
        <v>489</v>
      </c>
      <c r="T16" s="298"/>
      <c r="U16" s="639"/>
    </row>
    <row r="17" spans="1:21" ht="13.5">
      <c r="A17" s="245">
        <v>12</v>
      </c>
      <c r="B17" s="246" t="s">
        <v>64</v>
      </c>
      <c r="C17" s="302">
        <v>81</v>
      </c>
      <c r="D17" s="302">
        <v>162</v>
      </c>
      <c r="E17" s="302">
        <v>52</v>
      </c>
      <c r="F17" s="302">
        <v>41</v>
      </c>
      <c r="G17" s="302">
        <v>110</v>
      </c>
      <c r="H17" s="302">
        <v>12</v>
      </c>
      <c r="I17" s="302">
        <v>37</v>
      </c>
      <c r="J17" s="302">
        <v>1</v>
      </c>
      <c r="K17" s="302">
        <v>0.25</v>
      </c>
      <c r="L17" s="302">
        <v>0</v>
      </c>
      <c r="M17" s="302">
        <v>0</v>
      </c>
      <c r="N17" s="302">
        <v>0</v>
      </c>
      <c r="O17" s="302">
        <v>0</v>
      </c>
      <c r="P17" s="302">
        <f>'Pri Sec_outstanding_6'!E17</f>
        <v>105</v>
      </c>
      <c r="Q17" s="302">
        <f>'Pri Sec_outstanding_6'!F17</f>
        <v>248.54</v>
      </c>
      <c r="R17" s="302">
        <v>34</v>
      </c>
      <c r="S17" s="302">
        <v>84.02</v>
      </c>
      <c r="T17" s="298"/>
      <c r="U17" s="639"/>
    </row>
    <row r="18" spans="1:20" ht="13.5">
      <c r="A18" s="245">
        <v>13</v>
      </c>
      <c r="B18" s="246" t="s">
        <v>65</v>
      </c>
      <c r="C18" s="302">
        <v>162</v>
      </c>
      <c r="D18" s="302">
        <v>324</v>
      </c>
      <c r="E18" s="302">
        <v>5</v>
      </c>
      <c r="F18" s="302">
        <v>2</v>
      </c>
      <c r="G18" s="302">
        <v>30</v>
      </c>
      <c r="H18" s="302">
        <v>2</v>
      </c>
      <c r="I18" s="302">
        <v>30</v>
      </c>
      <c r="J18" s="302">
        <v>1</v>
      </c>
      <c r="K18" s="302">
        <v>0.7</v>
      </c>
      <c r="L18" s="302">
        <v>0</v>
      </c>
      <c r="M18" s="302">
        <v>0</v>
      </c>
      <c r="N18" s="302">
        <v>0</v>
      </c>
      <c r="O18" s="302">
        <v>0</v>
      </c>
      <c r="P18" s="302">
        <f>'Pri Sec_outstanding_6'!E18</f>
        <v>320</v>
      </c>
      <c r="Q18" s="302">
        <f>'Pri Sec_outstanding_6'!F18</f>
        <v>884.65</v>
      </c>
      <c r="R18" s="302"/>
      <c r="S18" s="302"/>
      <c r="T18" s="298"/>
    </row>
    <row r="19" spans="1:20" ht="13.5">
      <c r="A19" s="245">
        <v>14</v>
      </c>
      <c r="B19" s="134" t="s">
        <v>291</v>
      </c>
      <c r="C19" s="302">
        <v>201</v>
      </c>
      <c r="D19" s="302">
        <v>402</v>
      </c>
      <c r="E19" s="302"/>
      <c r="F19" s="302">
        <v>18</v>
      </c>
      <c r="G19" s="302">
        <v>54.24</v>
      </c>
      <c r="H19" s="302">
        <v>5</v>
      </c>
      <c r="I19" s="302">
        <v>24.07</v>
      </c>
      <c r="J19" s="302">
        <v>15</v>
      </c>
      <c r="K19" s="302">
        <v>26.34</v>
      </c>
      <c r="L19" s="302">
        <v>0</v>
      </c>
      <c r="M19" s="302">
        <v>0</v>
      </c>
      <c r="N19" s="302">
        <v>0</v>
      </c>
      <c r="O19" s="302">
        <v>0</v>
      </c>
      <c r="P19" s="302">
        <f>'Pri Sec_outstanding_6'!E19</f>
        <v>1781</v>
      </c>
      <c r="Q19" s="302">
        <f>'Pri Sec_outstanding_6'!F19</f>
        <v>3851.49</v>
      </c>
      <c r="R19" s="302">
        <v>545</v>
      </c>
      <c r="S19" s="302">
        <v>1301.76</v>
      </c>
      <c r="T19" s="298"/>
    </row>
    <row r="20" spans="1:20" ht="13.5">
      <c r="A20" s="245">
        <v>15</v>
      </c>
      <c r="B20" s="246" t="s">
        <v>292</v>
      </c>
      <c r="C20" s="302">
        <v>96</v>
      </c>
      <c r="D20" s="302">
        <v>192</v>
      </c>
      <c r="E20" s="302">
        <v>5</v>
      </c>
      <c r="F20" s="302">
        <v>5</v>
      </c>
      <c r="G20" s="302">
        <v>14.78</v>
      </c>
      <c r="H20" s="302">
        <v>3</v>
      </c>
      <c r="I20" s="302">
        <v>8.87</v>
      </c>
      <c r="J20" s="302">
        <v>5</v>
      </c>
      <c r="K20" s="302">
        <v>14.78</v>
      </c>
      <c r="L20" s="302">
        <v>0</v>
      </c>
      <c r="M20" s="302">
        <v>0</v>
      </c>
      <c r="N20" s="302">
        <v>0</v>
      </c>
      <c r="O20" s="302">
        <v>0</v>
      </c>
      <c r="P20" s="302">
        <f>'Pri Sec_outstanding_6'!E20</f>
        <v>203</v>
      </c>
      <c r="Q20" s="302">
        <f>'Pri Sec_outstanding_6'!F20</f>
        <v>583</v>
      </c>
      <c r="R20" s="302">
        <v>69</v>
      </c>
      <c r="S20" s="302">
        <v>240</v>
      </c>
      <c r="T20" s="298"/>
    </row>
    <row r="21" spans="1:20" ht="13.5">
      <c r="A21" s="245">
        <v>16</v>
      </c>
      <c r="B21" s="246" t="s">
        <v>66</v>
      </c>
      <c r="C21" s="302">
        <v>816</v>
      </c>
      <c r="D21" s="302">
        <v>1632</v>
      </c>
      <c r="E21" s="302">
        <v>154</v>
      </c>
      <c r="F21" s="302">
        <v>640</v>
      </c>
      <c r="G21" s="302">
        <v>1191</v>
      </c>
      <c r="H21" s="302">
        <v>48</v>
      </c>
      <c r="I21" s="302">
        <v>442</v>
      </c>
      <c r="J21" s="302">
        <v>154</v>
      </c>
      <c r="K21" s="302">
        <v>691</v>
      </c>
      <c r="L21" s="302">
        <v>0</v>
      </c>
      <c r="M21" s="302">
        <v>0</v>
      </c>
      <c r="N21" s="302">
        <v>0</v>
      </c>
      <c r="O21" s="302">
        <v>0</v>
      </c>
      <c r="P21" s="302">
        <f>'Pri Sec_outstanding_6'!E21</f>
        <v>7478</v>
      </c>
      <c r="Q21" s="302">
        <f>'Pri Sec_outstanding_6'!F21</f>
        <v>16629</v>
      </c>
      <c r="R21" s="302">
        <v>2772</v>
      </c>
      <c r="S21" s="302">
        <v>6568</v>
      </c>
      <c r="T21" s="298"/>
    </row>
    <row r="22" spans="1:20" ht="13.5">
      <c r="A22" s="245">
        <v>17</v>
      </c>
      <c r="B22" s="135" t="s">
        <v>67</v>
      </c>
      <c r="C22" s="302">
        <v>186</v>
      </c>
      <c r="D22" s="302">
        <v>372</v>
      </c>
      <c r="E22" s="302">
        <v>92</v>
      </c>
      <c r="F22" s="302">
        <v>78</v>
      </c>
      <c r="G22" s="302">
        <v>522</v>
      </c>
      <c r="H22" s="302">
        <v>22</v>
      </c>
      <c r="I22" s="302">
        <v>33</v>
      </c>
      <c r="J22" s="302">
        <v>78</v>
      </c>
      <c r="K22" s="302">
        <v>135</v>
      </c>
      <c r="L22" s="302">
        <v>0</v>
      </c>
      <c r="M22" s="302">
        <v>0</v>
      </c>
      <c r="N22" s="302">
        <v>0</v>
      </c>
      <c r="O22" s="302">
        <v>0</v>
      </c>
      <c r="P22" s="302">
        <f>'Pri Sec_outstanding_6'!E22</f>
        <v>893</v>
      </c>
      <c r="Q22" s="302">
        <f>'Pri Sec_outstanding_6'!F22</f>
        <v>1955</v>
      </c>
      <c r="R22" s="302">
        <v>305</v>
      </c>
      <c r="S22" s="302">
        <v>625</v>
      </c>
      <c r="T22" s="298"/>
    </row>
    <row r="23" spans="1:20" ht="13.5">
      <c r="A23" s="245">
        <v>18</v>
      </c>
      <c r="B23" s="130" t="s">
        <v>253</v>
      </c>
      <c r="C23" s="302">
        <v>411</v>
      </c>
      <c r="D23" s="302">
        <v>822</v>
      </c>
      <c r="E23" s="302">
        <v>27</v>
      </c>
      <c r="F23" s="302">
        <v>27</v>
      </c>
      <c r="G23" s="302">
        <v>100</v>
      </c>
      <c r="H23" s="302">
        <v>6</v>
      </c>
      <c r="I23" s="302">
        <v>20</v>
      </c>
      <c r="J23" s="302">
        <v>27</v>
      </c>
      <c r="K23" s="302">
        <v>35</v>
      </c>
      <c r="L23" s="302">
        <v>0</v>
      </c>
      <c r="M23" s="302">
        <v>0</v>
      </c>
      <c r="N23" s="302">
        <v>0</v>
      </c>
      <c r="O23" s="302">
        <v>0</v>
      </c>
      <c r="P23" s="302">
        <f>'Pri Sec_outstanding_6'!E23</f>
        <v>2079</v>
      </c>
      <c r="Q23" s="302">
        <f>'Pri Sec_outstanding_6'!F23</f>
        <v>4708</v>
      </c>
      <c r="R23" s="302">
        <v>355</v>
      </c>
      <c r="S23" s="302">
        <v>1240</v>
      </c>
      <c r="T23" s="298"/>
    </row>
    <row r="24" spans="1:20" ht="13.5">
      <c r="A24" s="245">
        <v>19</v>
      </c>
      <c r="B24" s="136" t="s">
        <v>68</v>
      </c>
      <c r="C24" s="302">
        <v>828</v>
      </c>
      <c r="D24" s="302">
        <v>1656</v>
      </c>
      <c r="E24" s="302">
        <v>68</v>
      </c>
      <c r="F24" s="302">
        <v>68</v>
      </c>
      <c r="G24" s="302">
        <v>79.46</v>
      </c>
      <c r="H24" s="302">
        <v>20</v>
      </c>
      <c r="I24" s="302">
        <v>23.56</v>
      </c>
      <c r="J24" s="302">
        <v>390</v>
      </c>
      <c r="K24" s="302">
        <v>383.29</v>
      </c>
      <c r="L24" s="302">
        <v>0</v>
      </c>
      <c r="M24" s="302">
        <v>0</v>
      </c>
      <c r="N24" s="302">
        <v>0</v>
      </c>
      <c r="O24" s="302">
        <v>0</v>
      </c>
      <c r="P24" s="302">
        <f>'Pri Sec_outstanding_6'!E24</f>
        <v>3463</v>
      </c>
      <c r="Q24" s="302">
        <f>'Pri Sec_outstanding_6'!F24</f>
        <v>7918.17</v>
      </c>
      <c r="R24" s="302">
        <v>1025</v>
      </c>
      <c r="S24" s="302">
        <v>2521</v>
      </c>
      <c r="T24" s="298"/>
    </row>
    <row r="25" spans="1:20" ht="13.5">
      <c r="A25" s="245">
        <v>20</v>
      </c>
      <c r="B25" s="246" t="s">
        <v>69</v>
      </c>
      <c r="C25" s="302">
        <v>39</v>
      </c>
      <c r="D25" s="302">
        <v>78</v>
      </c>
      <c r="E25" s="302">
        <v>1</v>
      </c>
      <c r="F25" s="302">
        <v>1</v>
      </c>
      <c r="G25" s="302">
        <v>1</v>
      </c>
      <c r="H25" s="302">
        <v>0</v>
      </c>
      <c r="I25" s="302">
        <v>0</v>
      </c>
      <c r="J25" s="302">
        <v>1</v>
      </c>
      <c r="K25" s="302">
        <v>1</v>
      </c>
      <c r="L25" s="302">
        <v>0</v>
      </c>
      <c r="M25" s="302">
        <v>0</v>
      </c>
      <c r="N25" s="302">
        <v>0</v>
      </c>
      <c r="O25" s="302">
        <v>0</v>
      </c>
      <c r="P25" s="302">
        <f>'Pri Sec_outstanding_6'!E25</f>
        <v>101</v>
      </c>
      <c r="Q25" s="302">
        <f>'Pri Sec_outstanding_6'!F25</f>
        <v>299</v>
      </c>
      <c r="R25" s="302">
        <v>35</v>
      </c>
      <c r="S25" s="302">
        <v>87</v>
      </c>
      <c r="T25" s="298"/>
    </row>
    <row r="26" spans="1:20" ht="13.5">
      <c r="A26" s="245">
        <v>21</v>
      </c>
      <c r="B26" s="246" t="s">
        <v>52</v>
      </c>
      <c r="C26" s="302">
        <v>159</v>
      </c>
      <c r="D26" s="302">
        <v>318</v>
      </c>
      <c r="E26" s="302">
        <v>12</v>
      </c>
      <c r="F26" s="302">
        <v>12</v>
      </c>
      <c r="G26" s="302">
        <v>28.1</v>
      </c>
      <c r="H26" s="302">
        <v>6</v>
      </c>
      <c r="I26" s="302">
        <v>19.6</v>
      </c>
      <c r="J26" s="302">
        <v>12</v>
      </c>
      <c r="K26" s="302">
        <v>8.25</v>
      </c>
      <c r="L26" s="302">
        <v>0</v>
      </c>
      <c r="M26" s="302">
        <v>0</v>
      </c>
      <c r="N26" s="302">
        <v>0</v>
      </c>
      <c r="O26" s="302">
        <v>6.56</v>
      </c>
      <c r="P26" s="302">
        <f>'Pri Sec_outstanding_6'!E26</f>
        <v>422</v>
      </c>
      <c r="Q26" s="302">
        <f>'Pri Sec_outstanding_6'!F26</f>
        <v>921.47</v>
      </c>
      <c r="R26" s="302">
        <v>95</v>
      </c>
      <c r="S26" s="302">
        <v>150.44</v>
      </c>
      <c r="T26" s="298"/>
    </row>
    <row r="27" spans="1:20" s="306" customFormat="1" ht="13.5">
      <c r="A27" s="249"/>
      <c r="B27" s="250" t="s">
        <v>293</v>
      </c>
      <c r="C27" s="304">
        <f>SUM(C6:C26)</f>
        <v>8136</v>
      </c>
      <c r="D27" s="304">
        <f aca="true" t="shared" si="0" ref="D27:S27">SUM(D6:D26)</f>
        <v>16272</v>
      </c>
      <c r="E27" s="304">
        <f t="shared" si="0"/>
        <v>1659</v>
      </c>
      <c r="F27" s="304">
        <f t="shared" si="0"/>
        <v>2922</v>
      </c>
      <c r="G27" s="304">
        <f t="shared" si="0"/>
        <v>7392.110000000001</v>
      </c>
      <c r="H27" s="304">
        <f t="shared" si="0"/>
        <v>696</v>
      </c>
      <c r="I27" s="304">
        <f t="shared" si="0"/>
        <v>2294.6899999999996</v>
      </c>
      <c r="J27" s="304">
        <f t="shared" si="0"/>
        <v>2515</v>
      </c>
      <c r="K27" s="304">
        <f t="shared" si="0"/>
        <v>4868.9875988</v>
      </c>
      <c r="L27" s="304">
        <f t="shared" si="0"/>
        <v>108</v>
      </c>
      <c r="M27" s="304">
        <f t="shared" si="0"/>
        <v>333.7</v>
      </c>
      <c r="N27" s="304">
        <f t="shared" si="0"/>
        <v>27</v>
      </c>
      <c r="O27" s="304">
        <f t="shared" si="0"/>
        <v>195.56</v>
      </c>
      <c r="P27" s="304">
        <f t="shared" si="0"/>
        <v>46760</v>
      </c>
      <c r="Q27" s="304">
        <f t="shared" si="0"/>
        <v>113271.29999999999</v>
      </c>
      <c r="R27" s="304">
        <f t="shared" si="0"/>
        <v>14053</v>
      </c>
      <c r="S27" s="304">
        <f t="shared" si="0"/>
        <v>34557.740000000005</v>
      </c>
      <c r="T27" s="298"/>
    </row>
    <row r="28" spans="1:20" ht="13.5">
      <c r="A28" s="245">
        <v>22</v>
      </c>
      <c r="B28" s="246" t="s">
        <v>294</v>
      </c>
      <c r="C28" s="302">
        <v>12</v>
      </c>
      <c r="D28" s="302">
        <v>24</v>
      </c>
      <c r="E28" s="302">
        <v>1</v>
      </c>
      <c r="F28" s="302">
        <v>3</v>
      </c>
      <c r="G28" s="302">
        <v>10.94</v>
      </c>
      <c r="H28" s="302">
        <v>0</v>
      </c>
      <c r="I28" s="302">
        <v>0</v>
      </c>
      <c r="J28" s="302">
        <v>3</v>
      </c>
      <c r="K28" s="302">
        <v>10.94</v>
      </c>
      <c r="L28" s="302">
        <v>0</v>
      </c>
      <c r="M28" s="302">
        <v>0</v>
      </c>
      <c r="N28" s="302">
        <v>0</v>
      </c>
      <c r="O28" s="302">
        <v>0</v>
      </c>
      <c r="P28" s="302">
        <f>'Pri Sec_outstanding_6'!E28</f>
        <v>5</v>
      </c>
      <c r="Q28" s="302">
        <f>'Pri Sec_outstanding_6'!F28</f>
        <v>18.2</v>
      </c>
      <c r="R28" s="302">
        <v>0</v>
      </c>
      <c r="S28" s="302">
        <v>0</v>
      </c>
      <c r="T28" s="298"/>
    </row>
    <row r="29" spans="1:20" ht="13.5">
      <c r="A29" s="245">
        <v>23</v>
      </c>
      <c r="B29" s="246" t="s">
        <v>295</v>
      </c>
      <c r="C29" s="302">
        <v>9</v>
      </c>
      <c r="D29" s="302">
        <v>18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  <c r="J29" s="302">
        <v>0</v>
      </c>
      <c r="K29" s="302">
        <v>0</v>
      </c>
      <c r="L29" s="302">
        <v>0</v>
      </c>
      <c r="M29" s="302">
        <v>0</v>
      </c>
      <c r="N29" s="302">
        <v>0</v>
      </c>
      <c r="O29" s="302">
        <v>0</v>
      </c>
      <c r="P29" s="302">
        <f>'Pri Sec_outstanding_6'!E29</f>
        <v>3</v>
      </c>
      <c r="Q29" s="302">
        <f>'Pri Sec_outstanding_6'!F29</f>
        <v>12.34</v>
      </c>
      <c r="R29" s="302">
        <v>0</v>
      </c>
      <c r="S29" s="302">
        <v>0</v>
      </c>
      <c r="T29" s="298"/>
    </row>
    <row r="30" spans="1:20" ht="13.5">
      <c r="A30" s="245">
        <v>24</v>
      </c>
      <c r="B30" s="246" t="s">
        <v>296</v>
      </c>
      <c r="C30" s="302">
        <v>18</v>
      </c>
      <c r="D30" s="302">
        <v>36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>
        <v>0</v>
      </c>
      <c r="L30" s="302">
        <v>0</v>
      </c>
      <c r="M30" s="302">
        <v>0</v>
      </c>
      <c r="N30" s="302">
        <v>0</v>
      </c>
      <c r="O30" s="302">
        <v>0</v>
      </c>
      <c r="P30" s="302">
        <f>'Pri Sec_outstanding_6'!E30</f>
        <v>25</v>
      </c>
      <c r="Q30" s="302">
        <f>'Pri Sec_outstanding_6'!F30</f>
        <v>65.24</v>
      </c>
      <c r="R30" s="302">
        <v>10</v>
      </c>
      <c r="S30" s="302">
        <v>20.13</v>
      </c>
      <c r="T30" s="298"/>
    </row>
    <row r="31" spans="1:20" ht="13.5">
      <c r="A31" s="245">
        <v>25</v>
      </c>
      <c r="B31" s="248" t="s">
        <v>297</v>
      </c>
      <c r="C31" s="302">
        <v>6</v>
      </c>
      <c r="D31" s="302">
        <v>12</v>
      </c>
      <c r="E31" s="302">
        <v>0</v>
      </c>
      <c r="F31" s="302"/>
      <c r="G31" s="302">
        <v>0</v>
      </c>
      <c r="H31" s="302"/>
      <c r="I31" s="302">
        <v>0</v>
      </c>
      <c r="J31" s="302"/>
      <c r="K31" s="302">
        <v>0</v>
      </c>
      <c r="L31" s="302"/>
      <c r="M31" s="302">
        <v>0</v>
      </c>
      <c r="N31" s="302"/>
      <c r="O31" s="302">
        <v>0</v>
      </c>
      <c r="P31" s="302">
        <f>'Pri Sec_outstanding_6'!E31</f>
        <v>0</v>
      </c>
      <c r="Q31" s="302">
        <f>'Pri Sec_outstanding_6'!F31</f>
        <v>0</v>
      </c>
      <c r="R31" s="302"/>
      <c r="S31" s="302">
        <v>0</v>
      </c>
      <c r="T31" s="298"/>
    </row>
    <row r="32" spans="1:20" ht="13.5">
      <c r="A32" s="245">
        <v>26</v>
      </c>
      <c r="B32" s="246" t="s">
        <v>298</v>
      </c>
      <c r="C32" s="302">
        <v>24</v>
      </c>
      <c r="D32" s="302">
        <v>48</v>
      </c>
      <c r="E32" s="302"/>
      <c r="F32" s="302">
        <v>182</v>
      </c>
      <c r="G32" s="302">
        <v>427.25</v>
      </c>
      <c r="H32" s="302">
        <v>62</v>
      </c>
      <c r="I32" s="302">
        <v>155.22</v>
      </c>
      <c r="J32" s="302">
        <v>0</v>
      </c>
      <c r="K32" s="302">
        <v>0</v>
      </c>
      <c r="L32" s="302">
        <v>0</v>
      </c>
      <c r="M32" s="302">
        <v>0</v>
      </c>
      <c r="N32" s="302">
        <v>0</v>
      </c>
      <c r="O32" s="302">
        <v>0</v>
      </c>
      <c r="P32" s="302">
        <f>'Pri Sec_outstanding_6'!E32</f>
        <v>182</v>
      </c>
      <c r="Q32" s="302">
        <f>'Pri Sec_outstanding_6'!F32</f>
        <v>427.25</v>
      </c>
      <c r="R32" s="302">
        <v>62</v>
      </c>
      <c r="S32" s="302">
        <v>155.22</v>
      </c>
      <c r="T32" s="298"/>
    </row>
    <row r="33" spans="1:20" ht="13.5">
      <c r="A33" s="245">
        <v>27</v>
      </c>
      <c r="B33" s="246" t="s">
        <v>72</v>
      </c>
      <c r="C33" s="302">
        <v>3105</v>
      </c>
      <c r="D33" s="302">
        <v>6210</v>
      </c>
      <c r="E33" s="302"/>
      <c r="F33" s="302">
        <v>658</v>
      </c>
      <c r="G33" s="302">
        <v>5077</v>
      </c>
      <c r="H33" s="302">
        <v>186</v>
      </c>
      <c r="I33" s="302">
        <v>1447</v>
      </c>
      <c r="J33" s="302">
        <v>560</v>
      </c>
      <c r="K33" s="302">
        <v>3049</v>
      </c>
      <c r="L33" s="302">
        <v>0</v>
      </c>
      <c r="M33" s="302">
        <v>0</v>
      </c>
      <c r="N33" s="302">
        <v>0</v>
      </c>
      <c r="O33" s="302">
        <v>0</v>
      </c>
      <c r="P33" s="302">
        <f>'Pri Sec_outstanding_6'!E33</f>
        <v>25758</v>
      </c>
      <c r="Q33" s="302">
        <f>'Pri Sec_outstanding_6'!F33</f>
        <v>56468</v>
      </c>
      <c r="R33" s="302">
        <v>7822</v>
      </c>
      <c r="S33" s="302">
        <v>22036</v>
      </c>
      <c r="T33" s="298"/>
    </row>
    <row r="34" spans="1:20" s="306" customFormat="1" ht="13.5">
      <c r="A34" s="249"/>
      <c r="B34" s="250" t="s">
        <v>299</v>
      </c>
      <c r="C34" s="304">
        <f>SUM(C28:C33)</f>
        <v>3174</v>
      </c>
      <c r="D34" s="304">
        <f aca="true" t="shared" si="1" ref="D34:S34">SUM(D28:D33)</f>
        <v>6348</v>
      </c>
      <c r="E34" s="304">
        <f t="shared" si="1"/>
        <v>1</v>
      </c>
      <c r="F34" s="304">
        <f t="shared" si="1"/>
        <v>843</v>
      </c>
      <c r="G34" s="304">
        <f t="shared" si="1"/>
        <v>5515.19</v>
      </c>
      <c r="H34" s="304">
        <f t="shared" si="1"/>
        <v>248</v>
      </c>
      <c r="I34" s="304">
        <f t="shared" si="1"/>
        <v>1602.22</v>
      </c>
      <c r="J34" s="304">
        <f t="shared" si="1"/>
        <v>563</v>
      </c>
      <c r="K34" s="304">
        <f t="shared" si="1"/>
        <v>3059.94</v>
      </c>
      <c r="L34" s="304">
        <f t="shared" si="1"/>
        <v>0</v>
      </c>
      <c r="M34" s="304">
        <f t="shared" si="1"/>
        <v>0</v>
      </c>
      <c r="N34" s="304">
        <f t="shared" si="1"/>
        <v>0</v>
      </c>
      <c r="O34" s="304">
        <f t="shared" si="1"/>
        <v>0</v>
      </c>
      <c r="P34" s="304">
        <f t="shared" si="1"/>
        <v>25973</v>
      </c>
      <c r="Q34" s="304">
        <f t="shared" si="1"/>
        <v>56991.03</v>
      </c>
      <c r="R34" s="304">
        <f t="shared" si="1"/>
        <v>7894</v>
      </c>
      <c r="S34" s="304">
        <f t="shared" si="1"/>
        <v>22211.35</v>
      </c>
      <c r="T34" s="298"/>
    </row>
    <row r="35" spans="1:20" ht="13.5">
      <c r="A35" s="245">
        <v>28</v>
      </c>
      <c r="B35" s="246" t="s">
        <v>49</v>
      </c>
      <c r="C35" s="302">
        <v>336</v>
      </c>
      <c r="D35" s="302">
        <v>672</v>
      </c>
      <c r="E35" s="302"/>
      <c r="F35" s="302">
        <v>134</v>
      </c>
      <c r="G35" s="302">
        <v>519.45</v>
      </c>
      <c r="H35" s="302">
        <v>38</v>
      </c>
      <c r="I35" s="302">
        <v>162.54</v>
      </c>
      <c r="J35" s="302">
        <v>134</v>
      </c>
      <c r="K35" s="302">
        <v>519.45</v>
      </c>
      <c r="L35" s="302"/>
      <c r="M35" s="302"/>
      <c r="N35" s="302"/>
      <c r="O35" s="302"/>
      <c r="P35" s="302">
        <f>'Pri Sec_outstanding_6'!E35</f>
        <v>134</v>
      </c>
      <c r="Q35" s="302">
        <f>'Pri Sec_outstanding_6'!F35</f>
        <v>519.45</v>
      </c>
      <c r="R35" s="302">
        <v>38</v>
      </c>
      <c r="S35" s="302">
        <v>162.54</v>
      </c>
      <c r="T35" s="298"/>
    </row>
    <row r="36" spans="1:20" ht="13.5">
      <c r="A36" s="245">
        <v>29</v>
      </c>
      <c r="B36" s="252" t="s">
        <v>53</v>
      </c>
      <c r="C36" s="302"/>
      <c r="D36" s="302"/>
      <c r="E36" s="302">
        <v>1</v>
      </c>
      <c r="F36" s="302">
        <v>1</v>
      </c>
      <c r="G36" s="302">
        <v>6.2</v>
      </c>
      <c r="H36" s="302"/>
      <c r="I36" s="302"/>
      <c r="J36" s="302">
        <v>1</v>
      </c>
      <c r="K36" s="302">
        <v>0.22</v>
      </c>
      <c r="L36" s="302"/>
      <c r="M36" s="302"/>
      <c r="N36" s="302"/>
      <c r="O36" s="302"/>
      <c r="P36" s="302">
        <f>'Pri Sec_outstanding_6'!E36</f>
        <v>2</v>
      </c>
      <c r="Q36" s="302">
        <f>'Pri Sec_outstanding_6'!F36</f>
        <v>8.756481</v>
      </c>
      <c r="R36" s="302"/>
      <c r="S36" s="302"/>
      <c r="T36" s="298"/>
    </row>
    <row r="37" spans="1:20" ht="13.5">
      <c r="A37" s="245">
        <v>30</v>
      </c>
      <c r="B37" s="252" t="s">
        <v>300</v>
      </c>
      <c r="C37" s="302">
        <v>6</v>
      </c>
      <c r="D37" s="302">
        <v>12</v>
      </c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>
        <f>'Pri Sec_outstanding_6'!E37</f>
        <v>0</v>
      </c>
      <c r="Q37" s="302">
        <f>'Pri Sec_outstanding_6'!F37</f>
        <v>2</v>
      </c>
      <c r="R37" s="302"/>
      <c r="S37" s="302"/>
      <c r="T37" s="298"/>
    </row>
    <row r="38" spans="1:20" ht="13.5">
      <c r="A38" s="245">
        <v>31</v>
      </c>
      <c r="B38" s="246" t="s">
        <v>301</v>
      </c>
      <c r="C38" s="302"/>
      <c r="D38" s="302"/>
      <c r="E38" s="302">
        <v>0</v>
      </c>
      <c r="F38" s="302">
        <v>0</v>
      </c>
      <c r="G38" s="302">
        <v>0</v>
      </c>
      <c r="H38" s="302">
        <v>0</v>
      </c>
      <c r="I38" s="302">
        <v>0</v>
      </c>
      <c r="J38" s="302">
        <v>0</v>
      </c>
      <c r="K38" s="302">
        <v>0</v>
      </c>
      <c r="L38" s="302">
        <v>0</v>
      </c>
      <c r="M38" s="302">
        <v>0</v>
      </c>
      <c r="N38" s="302">
        <v>0</v>
      </c>
      <c r="O38" s="302">
        <v>0</v>
      </c>
      <c r="P38" s="302">
        <f>'Pri Sec_outstanding_6'!E38</f>
        <v>0</v>
      </c>
      <c r="Q38" s="302">
        <f>'Pri Sec_outstanding_6'!F38</f>
        <v>0</v>
      </c>
      <c r="R38" s="302">
        <v>0</v>
      </c>
      <c r="S38" s="302">
        <v>0</v>
      </c>
      <c r="T38" s="298"/>
    </row>
    <row r="39" spans="1:20" ht="13.5">
      <c r="A39" s="245">
        <v>32</v>
      </c>
      <c r="B39" s="246" t="s">
        <v>302</v>
      </c>
      <c r="C39" s="302">
        <v>12</v>
      </c>
      <c r="D39" s="302">
        <v>24</v>
      </c>
      <c r="E39" s="302">
        <v>0</v>
      </c>
      <c r="F39" s="302">
        <v>1</v>
      </c>
      <c r="G39" s="302">
        <v>3</v>
      </c>
      <c r="H39" s="302">
        <v>0</v>
      </c>
      <c r="I39" s="302">
        <v>0</v>
      </c>
      <c r="J39" s="302">
        <v>1</v>
      </c>
      <c r="K39" s="302">
        <v>2.62</v>
      </c>
      <c r="L39" s="302">
        <v>0</v>
      </c>
      <c r="M39" s="302">
        <v>0</v>
      </c>
      <c r="N39" s="302">
        <v>0</v>
      </c>
      <c r="O39" s="302">
        <v>0</v>
      </c>
      <c r="P39" s="302">
        <f>'Pri Sec_outstanding_6'!E39</f>
        <v>16</v>
      </c>
      <c r="Q39" s="302">
        <f>'Pri Sec_outstanding_6'!F39</f>
        <v>27.87</v>
      </c>
      <c r="R39" s="302">
        <v>6</v>
      </c>
      <c r="S39" s="302">
        <v>8.2</v>
      </c>
      <c r="T39" s="298"/>
    </row>
    <row r="40" spans="1:20" ht="13.5">
      <c r="A40" s="245">
        <v>33</v>
      </c>
      <c r="B40" s="246" t="s">
        <v>303</v>
      </c>
      <c r="C40" s="302">
        <v>285</v>
      </c>
      <c r="D40" s="302">
        <v>570</v>
      </c>
      <c r="E40" s="302"/>
      <c r="F40" s="302">
        <v>86</v>
      </c>
      <c r="G40" s="302">
        <v>135.56</v>
      </c>
      <c r="H40" s="302">
        <v>30</v>
      </c>
      <c r="I40" s="302">
        <v>53.64</v>
      </c>
      <c r="J40" s="302">
        <v>86</v>
      </c>
      <c r="K40" s="302">
        <v>135.56</v>
      </c>
      <c r="L40" s="302">
        <v>0</v>
      </c>
      <c r="M40" s="302">
        <v>0</v>
      </c>
      <c r="N40" s="302">
        <v>0</v>
      </c>
      <c r="O40" s="302">
        <v>0</v>
      </c>
      <c r="P40" s="302">
        <f>'Pri Sec_outstanding_6'!E40</f>
        <v>1188</v>
      </c>
      <c r="Q40" s="302">
        <f>'Pri Sec_outstanding_6'!F40</f>
        <v>2249.02</v>
      </c>
      <c r="R40" s="302">
        <v>373</v>
      </c>
      <c r="S40" s="302">
        <v>722.84</v>
      </c>
      <c r="T40" s="298"/>
    </row>
    <row r="41" spans="1:20" ht="13.5">
      <c r="A41" s="245">
        <v>34</v>
      </c>
      <c r="B41" s="246" t="s">
        <v>304</v>
      </c>
      <c r="C41" s="302">
        <v>308</v>
      </c>
      <c r="D41" s="302">
        <v>616</v>
      </c>
      <c r="E41" s="302"/>
      <c r="F41" s="302">
        <v>5</v>
      </c>
      <c r="G41" s="302">
        <v>34</v>
      </c>
      <c r="H41" s="302">
        <v>2</v>
      </c>
      <c r="I41" s="302">
        <v>12</v>
      </c>
      <c r="J41" s="302">
        <v>1</v>
      </c>
      <c r="K41" s="302">
        <v>6</v>
      </c>
      <c r="L41" s="302">
        <v>0</v>
      </c>
      <c r="M41" s="302">
        <v>0</v>
      </c>
      <c r="N41" s="302">
        <v>0</v>
      </c>
      <c r="O41" s="302">
        <v>0</v>
      </c>
      <c r="P41" s="302">
        <f>'Pri Sec_outstanding_6'!E41</f>
        <v>14</v>
      </c>
      <c r="Q41" s="302">
        <f>'Pri Sec_outstanding_6'!F41</f>
        <v>30</v>
      </c>
      <c r="R41" s="302">
        <v>8</v>
      </c>
      <c r="S41" s="302">
        <v>18</v>
      </c>
      <c r="T41" s="298"/>
    </row>
    <row r="42" spans="1:20" ht="13.5">
      <c r="A42" s="245">
        <v>35</v>
      </c>
      <c r="B42" s="246" t="s">
        <v>305</v>
      </c>
      <c r="C42" s="302">
        <v>36</v>
      </c>
      <c r="D42" s="302">
        <v>72</v>
      </c>
      <c r="E42" s="302"/>
      <c r="F42" s="302">
        <v>0</v>
      </c>
      <c r="G42" s="302"/>
      <c r="H42" s="302"/>
      <c r="I42" s="302"/>
      <c r="J42" s="302"/>
      <c r="K42" s="302"/>
      <c r="L42" s="302"/>
      <c r="M42" s="302"/>
      <c r="N42" s="302"/>
      <c r="O42" s="302"/>
      <c r="P42" s="302">
        <f>'Pri Sec_outstanding_6'!E42</f>
        <v>0</v>
      </c>
      <c r="Q42" s="302">
        <f>'Pri Sec_outstanding_6'!F42</f>
        <v>0</v>
      </c>
      <c r="R42" s="302"/>
      <c r="S42" s="302"/>
      <c r="T42" s="298"/>
    </row>
    <row r="43" spans="1:20" ht="13.5">
      <c r="A43" s="245">
        <v>36</v>
      </c>
      <c r="B43" s="246" t="s">
        <v>255</v>
      </c>
      <c r="C43" s="302"/>
      <c r="D43" s="302"/>
      <c r="E43" s="302"/>
      <c r="F43" s="302">
        <v>0</v>
      </c>
      <c r="G43" s="302"/>
      <c r="H43" s="302"/>
      <c r="I43" s="302"/>
      <c r="J43" s="302"/>
      <c r="K43" s="302"/>
      <c r="L43" s="302"/>
      <c r="M43" s="302"/>
      <c r="N43" s="302"/>
      <c r="O43" s="302"/>
      <c r="P43" s="302">
        <f>'Pri Sec_outstanding_6'!E43</f>
        <v>0</v>
      </c>
      <c r="Q43" s="302">
        <f>'Pri Sec_outstanding_6'!F43</f>
        <v>0</v>
      </c>
      <c r="R43" s="302"/>
      <c r="S43" s="302"/>
      <c r="T43" s="298"/>
    </row>
    <row r="44" spans="1:20" ht="13.5">
      <c r="A44" s="245">
        <v>37</v>
      </c>
      <c r="B44" s="246" t="s">
        <v>306</v>
      </c>
      <c r="C44" s="302">
        <v>6</v>
      </c>
      <c r="D44" s="302">
        <v>12</v>
      </c>
      <c r="E44" s="302"/>
      <c r="F44" s="302">
        <v>0</v>
      </c>
      <c r="G44" s="302">
        <v>0</v>
      </c>
      <c r="H44" s="302">
        <v>0</v>
      </c>
      <c r="I44" s="302">
        <v>0</v>
      </c>
      <c r="J44" s="302">
        <v>0</v>
      </c>
      <c r="K44" s="302">
        <v>0</v>
      </c>
      <c r="L44" s="302">
        <v>0</v>
      </c>
      <c r="M44" s="302">
        <v>0</v>
      </c>
      <c r="N44" s="302">
        <v>0</v>
      </c>
      <c r="O44" s="302">
        <v>0</v>
      </c>
      <c r="P44" s="302">
        <f>'Pri Sec_outstanding_6'!E44</f>
        <v>6</v>
      </c>
      <c r="Q44" s="302">
        <f>'Pri Sec_outstanding_6'!F44</f>
        <v>8</v>
      </c>
      <c r="R44" s="302">
        <v>4</v>
      </c>
      <c r="S44" s="302">
        <v>6</v>
      </c>
      <c r="T44" s="298"/>
    </row>
    <row r="45" spans="1:20" ht="13.5">
      <c r="A45" s="245">
        <v>38</v>
      </c>
      <c r="B45" s="246" t="s">
        <v>307</v>
      </c>
      <c r="C45" s="302">
        <v>15</v>
      </c>
      <c r="D45" s="302">
        <v>30</v>
      </c>
      <c r="E45" s="302"/>
      <c r="F45" s="302">
        <v>2</v>
      </c>
      <c r="G45" s="302">
        <v>6</v>
      </c>
      <c r="H45" s="302">
        <v>0</v>
      </c>
      <c r="I45" s="302">
        <v>0</v>
      </c>
      <c r="J45" s="302">
        <v>2</v>
      </c>
      <c r="K45" s="302">
        <v>6.12</v>
      </c>
      <c r="L45" s="302"/>
      <c r="M45" s="302"/>
      <c r="N45" s="302"/>
      <c r="O45" s="302"/>
      <c r="P45" s="302">
        <f>'Pri Sec_outstanding_6'!E45</f>
        <v>28</v>
      </c>
      <c r="Q45" s="302">
        <f>'Pri Sec_outstanding_6'!F45</f>
        <v>190</v>
      </c>
      <c r="R45" s="302">
        <v>2</v>
      </c>
      <c r="S45" s="302">
        <v>13.77</v>
      </c>
      <c r="T45" s="298"/>
    </row>
    <row r="46" spans="1:20" ht="13.5">
      <c r="A46" s="245">
        <v>39</v>
      </c>
      <c r="B46" s="246" t="s">
        <v>95</v>
      </c>
      <c r="C46" s="302">
        <v>9</v>
      </c>
      <c r="D46" s="302">
        <v>18</v>
      </c>
      <c r="E46" s="302">
        <v>1</v>
      </c>
      <c r="F46" s="302">
        <v>0</v>
      </c>
      <c r="G46" s="302">
        <v>0</v>
      </c>
      <c r="H46" s="302">
        <v>0</v>
      </c>
      <c r="I46" s="302">
        <v>0</v>
      </c>
      <c r="J46" s="302">
        <v>0</v>
      </c>
      <c r="K46" s="302">
        <v>0</v>
      </c>
      <c r="L46" s="302">
        <v>0</v>
      </c>
      <c r="M46" s="302">
        <v>0</v>
      </c>
      <c r="N46" s="302">
        <v>0</v>
      </c>
      <c r="O46" s="302">
        <v>0</v>
      </c>
      <c r="P46" s="302">
        <f>'Pri Sec_outstanding_6'!E46</f>
        <v>9</v>
      </c>
      <c r="Q46" s="302">
        <f>'Pri Sec_outstanding_6'!F46</f>
        <v>25.21</v>
      </c>
      <c r="R46" s="302">
        <v>0</v>
      </c>
      <c r="S46" s="302">
        <v>0</v>
      </c>
      <c r="T46" s="298"/>
    </row>
    <row r="47" spans="1:20" ht="13.5">
      <c r="A47" s="245">
        <v>40</v>
      </c>
      <c r="B47" s="246" t="s">
        <v>308</v>
      </c>
      <c r="C47" s="302">
        <v>33</v>
      </c>
      <c r="D47" s="302">
        <v>66</v>
      </c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>
        <f>'Pri Sec_outstanding_6'!E47</f>
        <v>0</v>
      </c>
      <c r="Q47" s="302">
        <f>'Pri Sec_outstanding_6'!F47</f>
        <v>0</v>
      </c>
      <c r="R47" s="302"/>
      <c r="S47" s="302"/>
      <c r="T47" s="298"/>
    </row>
    <row r="48" spans="1:20" ht="13.5">
      <c r="A48" s="245">
        <v>41</v>
      </c>
      <c r="B48" s="246" t="s">
        <v>309</v>
      </c>
      <c r="C48" s="302">
        <v>3</v>
      </c>
      <c r="D48" s="302">
        <v>6</v>
      </c>
      <c r="E48" s="302">
        <v>0</v>
      </c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>
        <f>'Pri Sec_outstanding_6'!E48</f>
        <v>0</v>
      </c>
      <c r="Q48" s="302">
        <f>'Pri Sec_outstanding_6'!F48</f>
        <v>0</v>
      </c>
      <c r="R48" s="302"/>
      <c r="S48" s="302"/>
      <c r="T48" s="298"/>
    </row>
    <row r="49" spans="1:20" ht="13.5">
      <c r="A49" s="245">
        <v>42</v>
      </c>
      <c r="B49" s="253" t="s">
        <v>310</v>
      </c>
      <c r="C49" s="302">
        <v>6</v>
      </c>
      <c r="D49" s="302">
        <v>12</v>
      </c>
      <c r="E49" s="302"/>
      <c r="F49" s="302">
        <v>0</v>
      </c>
      <c r="G49" s="302">
        <v>0</v>
      </c>
      <c r="H49" s="302">
        <v>0</v>
      </c>
      <c r="I49" s="302">
        <v>0</v>
      </c>
      <c r="J49" s="302">
        <v>0</v>
      </c>
      <c r="K49" s="302">
        <v>0</v>
      </c>
      <c r="L49" s="302">
        <v>0</v>
      </c>
      <c r="M49" s="302">
        <v>0</v>
      </c>
      <c r="N49" s="302">
        <v>0</v>
      </c>
      <c r="O49" s="302">
        <v>0</v>
      </c>
      <c r="P49" s="302">
        <f>'Pri Sec_outstanding_6'!E49</f>
        <v>6</v>
      </c>
      <c r="Q49" s="302">
        <f>'Pri Sec_outstanding_6'!F49</f>
        <v>13.64</v>
      </c>
      <c r="R49" s="302">
        <v>0</v>
      </c>
      <c r="S49" s="302">
        <v>0</v>
      </c>
      <c r="T49" s="298"/>
    </row>
    <row r="50" spans="1:20" ht="13.5">
      <c r="A50" s="245">
        <v>43</v>
      </c>
      <c r="B50" s="246" t="s">
        <v>311</v>
      </c>
      <c r="C50" s="302">
        <v>39</v>
      </c>
      <c r="D50" s="302">
        <v>78</v>
      </c>
      <c r="E50" s="302"/>
      <c r="F50" s="302">
        <v>94</v>
      </c>
      <c r="G50" s="302">
        <v>19.310000000000002</v>
      </c>
      <c r="H50" s="302">
        <v>94</v>
      </c>
      <c r="I50" s="302">
        <v>19.310000000000002</v>
      </c>
      <c r="J50" s="302">
        <v>94</v>
      </c>
      <c r="K50" s="302">
        <v>19.310000000000002</v>
      </c>
      <c r="L50" s="302">
        <v>0</v>
      </c>
      <c r="M50" s="302">
        <v>0</v>
      </c>
      <c r="N50" s="302">
        <v>0</v>
      </c>
      <c r="O50" s="302">
        <v>0</v>
      </c>
      <c r="P50" s="302">
        <f>'Pri Sec_outstanding_6'!E50</f>
        <v>878</v>
      </c>
      <c r="Q50" s="302">
        <f>'Pri Sec_outstanding_6'!F50</f>
        <v>120.68097078</v>
      </c>
      <c r="R50" s="302">
        <v>377</v>
      </c>
      <c r="S50" s="302">
        <v>45.108889899999994</v>
      </c>
      <c r="T50" s="298"/>
    </row>
    <row r="51" spans="1:20" ht="13.5">
      <c r="A51" s="245">
        <v>44</v>
      </c>
      <c r="B51" s="246" t="s">
        <v>78</v>
      </c>
      <c r="C51" s="302">
        <v>27</v>
      </c>
      <c r="D51" s="302">
        <v>54</v>
      </c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>
        <f>'Pri Sec_outstanding_6'!E51</f>
        <v>0</v>
      </c>
      <c r="Q51" s="302">
        <f>'Pri Sec_outstanding_6'!F51</f>
        <v>0</v>
      </c>
      <c r="R51" s="302"/>
      <c r="S51" s="302"/>
      <c r="T51" s="298"/>
    </row>
    <row r="52" spans="1:20" s="306" customFormat="1" ht="13.5">
      <c r="A52" s="254"/>
      <c r="B52" s="250" t="s">
        <v>274</v>
      </c>
      <c r="C52" s="304">
        <f>SUM(C35:C51)</f>
        <v>1121</v>
      </c>
      <c r="D52" s="304">
        <f aca="true" t="shared" si="2" ref="D52:S52">SUM(D35:D51)</f>
        <v>2242</v>
      </c>
      <c r="E52" s="304">
        <f t="shared" si="2"/>
        <v>2</v>
      </c>
      <c r="F52" s="304">
        <f t="shared" si="2"/>
        <v>323</v>
      </c>
      <c r="G52" s="304">
        <f t="shared" si="2"/>
        <v>723.52</v>
      </c>
      <c r="H52" s="304">
        <f t="shared" si="2"/>
        <v>164</v>
      </c>
      <c r="I52" s="304">
        <f t="shared" si="2"/>
        <v>247.49</v>
      </c>
      <c r="J52" s="304">
        <f t="shared" si="2"/>
        <v>319</v>
      </c>
      <c r="K52" s="304">
        <f t="shared" si="2"/>
        <v>689.2800000000002</v>
      </c>
      <c r="L52" s="304">
        <f t="shared" si="2"/>
        <v>0</v>
      </c>
      <c r="M52" s="304">
        <f t="shared" si="2"/>
        <v>0</v>
      </c>
      <c r="N52" s="304">
        <f t="shared" si="2"/>
        <v>0</v>
      </c>
      <c r="O52" s="304">
        <f t="shared" si="2"/>
        <v>0</v>
      </c>
      <c r="P52" s="304">
        <f t="shared" si="2"/>
        <v>2281</v>
      </c>
      <c r="Q52" s="304">
        <f t="shared" si="2"/>
        <v>3194.62745178</v>
      </c>
      <c r="R52" s="304">
        <f t="shared" si="2"/>
        <v>808</v>
      </c>
      <c r="S52" s="304">
        <f t="shared" si="2"/>
        <v>976.4588899</v>
      </c>
      <c r="T52" s="298"/>
    </row>
    <row r="53" spans="1:20" ht="13.5">
      <c r="A53" s="245">
        <v>45</v>
      </c>
      <c r="B53" s="246" t="s">
        <v>48</v>
      </c>
      <c r="C53" s="302">
        <v>938</v>
      </c>
      <c r="D53" s="302">
        <v>1876</v>
      </c>
      <c r="E53" s="302">
        <v>13</v>
      </c>
      <c r="F53" s="302">
        <v>13</v>
      </c>
      <c r="G53" s="302">
        <v>80</v>
      </c>
      <c r="H53" s="302">
        <v>4</v>
      </c>
      <c r="I53" s="302">
        <v>21</v>
      </c>
      <c r="J53" s="302">
        <v>13</v>
      </c>
      <c r="K53" s="302">
        <v>80</v>
      </c>
      <c r="L53" s="302">
        <v>0</v>
      </c>
      <c r="M53" s="302">
        <v>0</v>
      </c>
      <c r="N53" s="302">
        <v>0</v>
      </c>
      <c r="O53" s="302">
        <v>0</v>
      </c>
      <c r="P53" s="302">
        <f>'Pri Sec_outstanding_6'!E53</f>
        <v>1192</v>
      </c>
      <c r="Q53" s="302">
        <f>'Pri Sec_outstanding_6'!F53</f>
        <v>2765</v>
      </c>
      <c r="R53" s="302">
        <v>345</v>
      </c>
      <c r="S53" s="302">
        <v>806</v>
      </c>
      <c r="T53" s="298"/>
    </row>
    <row r="54" spans="1:20" ht="13.5">
      <c r="A54" s="245">
        <v>46</v>
      </c>
      <c r="B54" s="246" t="s">
        <v>269</v>
      </c>
      <c r="C54" s="302">
        <v>894</v>
      </c>
      <c r="D54" s="302">
        <v>1788</v>
      </c>
      <c r="E54" s="302">
        <v>6</v>
      </c>
      <c r="F54" s="302">
        <v>6</v>
      </c>
      <c r="G54" s="302">
        <v>15.49</v>
      </c>
      <c r="H54" s="302">
        <v>1</v>
      </c>
      <c r="I54" s="302">
        <v>4.75</v>
      </c>
      <c r="J54" s="302">
        <v>6</v>
      </c>
      <c r="K54" s="302">
        <v>8.72</v>
      </c>
      <c r="L54" s="302">
        <v>0</v>
      </c>
      <c r="M54" s="302">
        <v>0</v>
      </c>
      <c r="N54" s="302">
        <v>0</v>
      </c>
      <c r="O54" s="302">
        <v>0</v>
      </c>
      <c r="P54" s="302">
        <f>'Pri Sec_outstanding_6'!E54</f>
        <v>647</v>
      </c>
      <c r="Q54" s="302">
        <f>'Pri Sec_outstanding_6'!F54</f>
        <v>1198</v>
      </c>
      <c r="R54" s="302">
        <v>152</v>
      </c>
      <c r="S54" s="302">
        <v>269</v>
      </c>
      <c r="T54" s="298"/>
    </row>
    <row r="55" spans="1:20" ht="13.5">
      <c r="A55" s="245">
        <v>47</v>
      </c>
      <c r="B55" s="246" t="s">
        <v>54</v>
      </c>
      <c r="C55" s="302">
        <v>704</v>
      </c>
      <c r="D55" s="302">
        <v>1408</v>
      </c>
      <c r="E55" s="302">
        <v>22</v>
      </c>
      <c r="F55" s="302">
        <v>21</v>
      </c>
      <c r="G55" s="302">
        <v>87.4</v>
      </c>
      <c r="H55" s="302">
        <v>9</v>
      </c>
      <c r="I55" s="302">
        <v>38</v>
      </c>
      <c r="J55" s="302">
        <v>19</v>
      </c>
      <c r="K55" s="302">
        <v>46.09</v>
      </c>
      <c r="L55" s="302">
        <v>0</v>
      </c>
      <c r="M55" s="302">
        <v>0</v>
      </c>
      <c r="N55" s="302">
        <v>0</v>
      </c>
      <c r="O55" s="302">
        <v>0</v>
      </c>
      <c r="P55" s="302">
        <f>'Pri Sec_outstanding_6'!E55</f>
        <v>1913</v>
      </c>
      <c r="Q55" s="302">
        <f>'Pri Sec_outstanding_6'!F55</f>
        <v>4004.47</v>
      </c>
      <c r="R55" s="302">
        <v>504</v>
      </c>
      <c r="S55" s="302">
        <v>800.07</v>
      </c>
      <c r="T55" s="298"/>
    </row>
    <row r="56" spans="1:20" s="306" customFormat="1" ht="13.5">
      <c r="A56" s="254"/>
      <c r="B56" s="250" t="s">
        <v>270</v>
      </c>
      <c r="C56" s="304">
        <f>SUM(C53:C55)</f>
        <v>2536</v>
      </c>
      <c r="D56" s="304">
        <f aca="true" t="shared" si="3" ref="D56:S56">SUM(D53:D55)</f>
        <v>5072</v>
      </c>
      <c r="E56" s="304">
        <f t="shared" si="3"/>
        <v>41</v>
      </c>
      <c r="F56" s="304">
        <f t="shared" si="3"/>
        <v>40</v>
      </c>
      <c r="G56" s="304">
        <f t="shared" si="3"/>
        <v>182.89</v>
      </c>
      <c r="H56" s="304">
        <f t="shared" si="3"/>
        <v>14</v>
      </c>
      <c r="I56" s="304">
        <f t="shared" si="3"/>
        <v>63.75</v>
      </c>
      <c r="J56" s="304">
        <f t="shared" si="3"/>
        <v>38</v>
      </c>
      <c r="K56" s="304">
        <f t="shared" si="3"/>
        <v>134.81</v>
      </c>
      <c r="L56" s="304">
        <f t="shared" si="3"/>
        <v>0</v>
      </c>
      <c r="M56" s="304">
        <f t="shared" si="3"/>
        <v>0</v>
      </c>
      <c r="N56" s="304">
        <f t="shared" si="3"/>
        <v>0</v>
      </c>
      <c r="O56" s="304">
        <f t="shared" si="3"/>
        <v>0</v>
      </c>
      <c r="P56" s="304">
        <f t="shared" si="3"/>
        <v>3752</v>
      </c>
      <c r="Q56" s="304">
        <f t="shared" si="3"/>
        <v>7967.469999999999</v>
      </c>
      <c r="R56" s="304">
        <f t="shared" si="3"/>
        <v>1001</v>
      </c>
      <c r="S56" s="304">
        <f t="shared" si="3"/>
        <v>1875.0700000000002</v>
      </c>
      <c r="T56" s="298"/>
    </row>
    <row r="57" spans="1:20" ht="13.5">
      <c r="A57" s="245">
        <v>48</v>
      </c>
      <c r="B57" s="246" t="s">
        <v>312</v>
      </c>
      <c r="C57" s="302"/>
      <c r="D57" s="302"/>
      <c r="E57" s="302">
        <v>0</v>
      </c>
      <c r="F57" s="302">
        <v>0</v>
      </c>
      <c r="G57" s="302">
        <v>0</v>
      </c>
      <c r="H57" s="302">
        <v>0</v>
      </c>
      <c r="I57" s="302">
        <v>0</v>
      </c>
      <c r="J57" s="302">
        <v>0</v>
      </c>
      <c r="K57" s="302">
        <v>0</v>
      </c>
      <c r="L57" s="302">
        <v>0</v>
      </c>
      <c r="M57" s="302">
        <v>0</v>
      </c>
      <c r="N57" s="302">
        <v>0</v>
      </c>
      <c r="O57" s="302">
        <v>0</v>
      </c>
      <c r="P57" s="302">
        <f>'Pri Sec_outstanding_6'!E57</f>
        <v>0</v>
      </c>
      <c r="Q57" s="302">
        <f>'Pri Sec_outstanding_6'!F57</f>
        <v>0</v>
      </c>
      <c r="R57" s="302">
        <v>0</v>
      </c>
      <c r="S57" s="302">
        <v>0</v>
      </c>
      <c r="T57" s="298"/>
    </row>
    <row r="58" spans="1:20" s="306" customFormat="1" ht="13.5">
      <c r="A58" s="254"/>
      <c r="B58" s="250" t="s">
        <v>137</v>
      </c>
      <c r="C58" s="304">
        <v>33</v>
      </c>
      <c r="D58" s="304">
        <f>78-12</f>
        <v>66</v>
      </c>
      <c r="E58" s="304">
        <f aca="true" t="shared" si="4" ref="E58:S58">E57</f>
        <v>0</v>
      </c>
      <c r="F58" s="304">
        <f t="shared" si="4"/>
        <v>0</v>
      </c>
      <c r="G58" s="304">
        <f t="shared" si="4"/>
        <v>0</v>
      </c>
      <c r="H58" s="304">
        <f t="shared" si="4"/>
        <v>0</v>
      </c>
      <c r="I58" s="304">
        <f t="shared" si="4"/>
        <v>0</v>
      </c>
      <c r="J58" s="304">
        <f t="shared" si="4"/>
        <v>0</v>
      </c>
      <c r="K58" s="304">
        <f t="shared" si="4"/>
        <v>0</v>
      </c>
      <c r="L58" s="304">
        <f t="shared" si="4"/>
        <v>0</v>
      </c>
      <c r="M58" s="304">
        <f t="shared" si="4"/>
        <v>0</v>
      </c>
      <c r="N58" s="304">
        <f t="shared" si="4"/>
        <v>0</v>
      </c>
      <c r="O58" s="304">
        <f t="shared" si="4"/>
        <v>0</v>
      </c>
      <c r="P58" s="304">
        <f>'Pri Sec_outstanding_6'!E58</f>
        <v>0</v>
      </c>
      <c r="Q58" s="304">
        <f>'Pri Sec_outstanding_6'!F58</f>
        <v>0</v>
      </c>
      <c r="R58" s="304">
        <f t="shared" si="4"/>
        <v>0</v>
      </c>
      <c r="S58" s="304">
        <f t="shared" si="4"/>
        <v>0</v>
      </c>
      <c r="T58" s="298"/>
    </row>
    <row r="59" spans="1:20" s="306" customFormat="1" ht="13.5">
      <c r="A59" s="254"/>
      <c r="B59" s="250" t="s">
        <v>276</v>
      </c>
      <c r="C59" s="304">
        <f>C58+C56+C52+C34+C27</f>
        <v>15000</v>
      </c>
      <c r="D59" s="304">
        <f aca="true" t="shared" si="5" ref="D59:S59">D58+D56+D52+D34+D27</f>
        <v>30000</v>
      </c>
      <c r="E59" s="304">
        <f t="shared" si="5"/>
        <v>1703</v>
      </c>
      <c r="F59" s="304">
        <f t="shared" si="5"/>
        <v>4128</v>
      </c>
      <c r="G59" s="304">
        <f t="shared" si="5"/>
        <v>13813.71</v>
      </c>
      <c r="H59" s="304">
        <f t="shared" si="5"/>
        <v>1122</v>
      </c>
      <c r="I59" s="304">
        <f t="shared" si="5"/>
        <v>4208.15</v>
      </c>
      <c r="J59" s="304">
        <f t="shared" si="5"/>
        <v>3435</v>
      </c>
      <c r="K59" s="304">
        <f t="shared" si="5"/>
        <v>8753.017598800001</v>
      </c>
      <c r="L59" s="304">
        <f t="shared" si="5"/>
        <v>108</v>
      </c>
      <c r="M59" s="304">
        <f t="shared" si="5"/>
        <v>333.7</v>
      </c>
      <c r="N59" s="304">
        <f t="shared" si="5"/>
        <v>27</v>
      </c>
      <c r="O59" s="304">
        <f t="shared" si="5"/>
        <v>195.56</v>
      </c>
      <c r="P59" s="304">
        <f t="shared" si="5"/>
        <v>78766</v>
      </c>
      <c r="Q59" s="304">
        <f t="shared" si="5"/>
        <v>181424.42745177998</v>
      </c>
      <c r="R59" s="304">
        <f t="shared" si="5"/>
        <v>23756</v>
      </c>
      <c r="S59" s="304">
        <f t="shared" si="5"/>
        <v>59620.618889900004</v>
      </c>
      <c r="T59" s="298"/>
    </row>
  </sheetData>
  <sheetProtection/>
  <mergeCells count="19">
    <mergeCell ref="A1:S1"/>
    <mergeCell ref="B2:C2"/>
    <mergeCell ref="P2:Q2"/>
    <mergeCell ref="R3:S3"/>
    <mergeCell ref="F4:G4"/>
    <mergeCell ref="H4:I4"/>
    <mergeCell ref="J4:K4"/>
    <mergeCell ref="L4:M4"/>
    <mergeCell ref="N4:O4"/>
    <mergeCell ref="P4:Q4"/>
    <mergeCell ref="C3:D3"/>
    <mergeCell ref="U6:U17"/>
    <mergeCell ref="R4:S4"/>
    <mergeCell ref="F3:G3"/>
    <mergeCell ref="H3:I3"/>
    <mergeCell ref="J3:K3"/>
    <mergeCell ref="L3:M3"/>
    <mergeCell ref="N3:O3"/>
    <mergeCell ref="P3:Q3"/>
  </mergeCells>
  <conditionalFormatting sqref="B6">
    <cfRule type="duplicateValues" priority="8" dxfId="197">
      <formula>AND(COUNTIF($B$6:$B$6,B6)&gt;1,NOT(ISBLANK(B6)))</formula>
    </cfRule>
  </conditionalFormatting>
  <conditionalFormatting sqref="B22">
    <cfRule type="duplicateValues" priority="9" dxfId="197">
      <formula>AND(COUNTIF($B$22:$B$22,B22)&gt;1,NOT(ISBLANK(B22)))</formula>
    </cfRule>
  </conditionalFormatting>
  <conditionalFormatting sqref="B33:B34 B26:B30">
    <cfRule type="duplicateValues" priority="10" dxfId="197">
      <formula>AND(COUNTIF($B$33:$B$34,B26)+COUNTIF($B$26:$B$30,B26)&gt;1,NOT(ISBLANK(B26)))</formula>
    </cfRule>
  </conditionalFormatting>
  <conditionalFormatting sqref="B52">
    <cfRule type="duplicateValues" priority="11" dxfId="197">
      <formula>AND(COUNTIF($B$52:$B$52,B52)&gt;1,NOT(ISBLANK(B52)))</formula>
    </cfRule>
  </conditionalFormatting>
  <conditionalFormatting sqref="B56">
    <cfRule type="duplicateValues" priority="12" dxfId="197">
      <formula>AND(COUNTIF($B$56:$B$56,B56)&gt;1,NOT(ISBLANK(B56)))</formula>
    </cfRule>
  </conditionalFormatting>
  <conditionalFormatting sqref="B58">
    <cfRule type="duplicateValues" priority="13" dxfId="197">
      <formula>AND(COUNTIF($B$58:$B$58,B58)&gt;1,NOT(ISBLANK(B58)))</formula>
    </cfRule>
  </conditionalFormatting>
  <conditionalFormatting sqref="T1:T65536">
    <cfRule type="cellIs" priority="2" dxfId="198" operator="greaterThan" stopIfTrue="1">
      <formula>0</formula>
    </cfRule>
    <cfRule type="cellIs" priority="3" dxfId="198" operator="greaterThan" stopIfTrue="1">
      <formula>0</formula>
    </cfRule>
    <cfRule type="cellIs" priority="4" dxfId="198" operator="greaterThan" stopIfTrue="1">
      <formula>0</formula>
    </cfRule>
    <cfRule type="cellIs" priority="6" dxfId="198" operator="greaterThan" stopIfTrue="1">
      <formula>0</formula>
    </cfRule>
    <cfRule type="cellIs" priority="7" dxfId="198" operator="greaterThan" stopIfTrue="1">
      <formula>0</formula>
    </cfRule>
  </conditionalFormatting>
  <conditionalFormatting sqref="T6:T59">
    <cfRule type="cellIs" priority="1" dxfId="198" operator="greaterThan" stopIfTrue="1">
      <formula>0</formula>
    </cfRule>
    <cfRule type="cellIs" priority="5" dxfId="198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34" max="1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J63"/>
  <sheetViews>
    <sheetView view="pageBreakPreview" zoomScale="60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2" sqref="L12"/>
    </sheetView>
  </sheetViews>
  <sheetFormatPr defaultColWidth="9.140625" defaultRowHeight="12.75"/>
  <cols>
    <col min="1" max="1" width="6.00390625" style="41" customWidth="1"/>
    <col min="2" max="2" width="22.28125" style="37" customWidth="1"/>
    <col min="3" max="3" width="9.7109375" style="42" bestFit="1" customWidth="1"/>
    <col min="4" max="4" width="8.57421875" style="42" bestFit="1" customWidth="1"/>
    <col min="5" max="5" width="10.140625" style="42" bestFit="1" customWidth="1"/>
    <col min="6" max="6" width="9.140625" style="42" bestFit="1" customWidth="1"/>
    <col min="7" max="7" width="10.140625" style="37" bestFit="1" customWidth="1"/>
    <col min="8" max="8" width="9.7109375" style="42" customWidth="1"/>
    <col min="9" max="9" width="9.8515625" style="37" bestFit="1" customWidth="1"/>
    <col min="10" max="10" width="9.140625" style="42" bestFit="1" customWidth="1"/>
    <col min="11" max="11" width="11.57421875" style="37" bestFit="1" customWidth="1"/>
    <col min="12" max="16384" width="9.140625" style="37" customWidth="1"/>
  </cols>
  <sheetData>
    <row r="1" spans="1:10" ht="15.75" customHeight="1">
      <c r="A1" s="625" t="s">
        <v>209</v>
      </c>
      <c r="B1" s="625"/>
      <c r="C1" s="625"/>
      <c r="D1" s="625"/>
      <c r="E1" s="625"/>
      <c r="F1" s="625"/>
      <c r="G1" s="625"/>
      <c r="H1" s="625"/>
      <c r="I1" s="625"/>
      <c r="J1" s="625"/>
    </row>
    <row r="2" spans="1:10" ht="15" customHeight="1">
      <c r="A2" s="38"/>
      <c r="B2" s="39" t="s">
        <v>12</v>
      </c>
      <c r="C2" s="118"/>
      <c r="D2" s="118"/>
      <c r="I2" s="649" t="s">
        <v>210</v>
      </c>
      <c r="J2" s="649"/>
    </row>
    <row r="3" spans="1:10" ht="15" customHeight="1">
      <c r="A3" s="650" t="s">
        <v>193</v>
      </c>
      <c r="B3" s="652" t="s">
        <v>3</v>
      </c>
      <c r="C3" s="654" t="s">
        <v>1</v>
      </c>
      <c r="D3" s="656"/>
      <c r="E3" s="656"/>
      <c r="F3" s="655"/>
      <c r="G3" s="654" t="s">
        <v>343</v>
      </c>
      <c r="H3" s="656"/>
      <c r="I3" s="656"/>
      <c r="J3" s="655"/>
    </row>
    <row r="4" spans="1:10" ht="15" customHeight="1">
      <c r="A4" s="651"/>
      <c r="B4" s="653"/>
      <c r="C4" s="654" t="s">
        <v>341</v>
      </c>
      <c r="D4" s="655"/>
      <c r="E4" s="618" t="s">
        <v>342</v>
      </c>
      <c r="F4" s="618"/>
      <c r="G4" s="654" t="s">
        <v>341</v>
      </c>
      <c r="H4" s="655"/>
      <c r="I4" s="618" t="s">
        <v>342</v>
      </c>
      <c r="J4" s="618"/>
    </row>
    <row r="5" spans="1:10" ht="15" customHeight="1">
      <c r="A5" s="116"/>
      <c r="B5" s="117"/>
      <c r="C5" s="275" t="s">
        <v>30</v>
      </c>
      <c r="D5" s="276" t="s">
        <v>17</v>
      </c>
      <c r="E5" s="275" t="s">
        <v>30</v>
      </c>
      <c r="F5" s="275" t="s">
        <v>17</v>
      </c>
      <c r="G5" s="275" t="s">
        <v>30</v>
      </c>
      <c r="H5" s="276" t="s">
        <v>17</v>
      </c>
      <c r="I5" s="275" t="s">
        <v>30</v>
      </c>
      <c r="J5" s="275" t="s">
        <v>17</v>
      </c>
    </row>
    <row r="6" spans="1:10" ht="15" customHeight="1">
      <c r="A6" s="245">
        <v>1</v>
      </c>
      <c r="B6" s="252" t="s">
        <v>57</v>
      </c>
      <c r="C6" s="307">
        <v>4365</v>
      </c>
      <c r="D6" s="307">
        <v>136.25</v>
      </c>
      <c r="E6" s="307">
        <v>1520</v>
      </c>
      <c r="F6" s="307">
        <v>763.18</v>
      </c>
      <c r="G6" s="307">
        <v>279</v>
      </c>
      <c r="H6" s="307">
        <v>12.36</v>
      </c>
      <c r="I6" s="307">
        <v>114</v>
      </c>
      <c r="J6" s="307">
        <v>64.02</v>
      </c>
    </row>
    <row r="7" spans="1:10" ht="15" customHeight="1">
      <c r="A7" s="245">
        <v>2</v>
      </c>
      <c r="B7" s="252" t="s">
        <v>58</v>
      </c>
      <c r="C7" s="308">
        <v>0</v>
      </c>
      <c r="D7" s="308">
        <v>0</v>
      </c>
      <c r="E7" s="308">
        <v>0</v>
      </c>
      <c r="F7" s="308">
        <v>0</v>
      </c>
      <c r="G7" s="308">
        <v>0</v>
      </c>
      <c r="H7" s="308">
        <v>0</v>
      </c>
      <c r="I7" s="308">
        <v>0</v>
      </c>
      <c r="J7" s="308">
        <v>0</v>
      </c>
    </row>
    <row r="8" spans="1:10" ht="15" customHeight="1">
      <c r="A8" s="245">
        <v>3</v>
      </c>
      <c r="B8" s="252" t="s">
        <v>59</v>
      </c>
      <c r="C8" s="277">
        <v>3531</v>
      </c>
      <c r="D8" s="277">
        <v>576.16</v>
      </c>
      <c r="E8" s="277">
        <v>494</v>
      </c>
      <c r="F8" s="277">
        <v>517.15</v>
      </c>
      <c r="G8" s="309">
        <v>79</v>
      </c>
      <c r="H8" s="277">
        <v>12.66</v>
      </c>
      <c r="I8" s="309">
        <v>20</v>
      </c>
      <c r="J8" s="277">
        <v>35.95</v>
      </c>
    </row>
    <row r="9" spans="1:10" ht="15" customHeight="1">
      <c r="A9" s="245">
        <v>4</v>
      </c>
      <c r="B9" s="252" t="s">
        <v>60</v>
      </c>
      <c r="C9" s="310">
        <v>12122</v>
      </c>
      <c r="D9" s="310">
        <v>13856</v>
      </c>
      <c r="E9" s="310">
        <v>6828</v>
      </c>
      <c r="F9" s="310">
        <v>8124</v>
      </c>
      <c r="G9" s="310">
        <v>19</v>
      </c>
      <c r="H9" s="310">
        <v>43</v>
      </c>
      <c r="I9" s="310">
        <v>16</v>
      </c>
      <c r="J9" s="310">
        <v>37</v>
      </c>
    </row>
    <row r="10" spans="1:10" ht="15" customHeight="1">
      <c r="A10" s="245">
        <v>5</v>
      </c>
      <c r="B10" s="252" t="s">
        <v>61</v>
      </c>
      <c r="C10" s="311">
        <v>0</v>
      </c>
      <c r="D10" s="311">
        <v>0</v>
      </c>
      <c r="E10" s="311">
        <v>0</v>
      </c>
      <c r="F10" s="311">
        <v>0</v>
      </c>
      <c r="G10" s="311">
        <v>0</v>
      </c>
      <c r="H10" s="311">
        <v>0</v>
      </c>
      <c r="I10" s="311">
        <v>0</v>
      </c>
      <c r="J10" s="311">
        <v>0</v>
      </c>
    </row>
    <row r="11" spans="1:10" ht="15" customHeight="1">
      <c r="A11" s="245">
        <v>6</v>
      </c>
      <c r="B11" s="278" t="s">
        <v>289</v>
      </c>
      <c r="C11" s="277">
        <v>356</v>
      </c>
      <c r="D11" s="277">
        <v>3.65</v>
      </c>
      <c r="E11" s="277">
        <v>12</v>
      </c>
      <c r="F11" s="277">
        <v>24.25</v>
      </c>
      <c r="G11" s="309">
        <v>36</v>
      </c>
      <c r="H11" s="277">
        <v>0.56</v>
      </c>
      <c r="I11" s="309">
        <v>0</v>
      </c>
      <c r="J11" s="277">
        <v>0</v>
      </c>
    </row>
    <row r="12" spans="1:10" ht="15" customHeight="1">
      <c r="A12" s="245">
        <v>7</v>
      </c>
      <c r="B12" s="252" t="s">
        <v>62</v>
      </c>
      <c r="C12" s="277">
        <v>716</v>
      </c>
      <c r="D12" s="277">
        <v>235</v>
      </c>
      <c r="E12" s="277">
        <v>609</v>
      </c>
      <c r="F12" s="277">
        <v>490</v>
      </c>
      <c r="G12" s="309">
        <v>72</v>
      </c>
      <c r="H12" s="277">
        <v>3.5</v>
      </c>
      <c r="I12" s="309">
        <v>41</v>
      </c>
      <c r="J12" s="277">
        <v>49.25</v>
      </c>
    </row>
    <row r="13" spans="1:10" ht="15" customHeight="1">
      <c r="A13" s="245">
        <v>8</v>
      </c>
      <c r="B13" s="252" t="s">
        <v>63</v>
      </c>
      <c r="C13" s="277">
        <v>11719</v>
      </c>
      <c r="D13" s="277">
        <v>585</v>
      </c>
      <c r="E13" s="277">
        <v>5924</v>
      </c>
      <c r="F13" s="277">
        <v>1839</v>
      </c>
      <c r="G13" s="309">
        <v>1309</v>
      </c>
      <c r="H13" s="277">
        <v>17</v>
      </c>
      <c r="I13" s="309">
        <v>710</v>
      </c>
      <c r="J13" s="277">
        <v>361</v>
      </c>
    </row>
    <row r="14" spans="1:10" ht="15" customHeight="1">
      <c r="A14" s="245">
        <v>9</v>
      </c>
      <c r="B14" s="252" t="s">
        <v>50</v>
      </c>
      <c r="C14" s="277">
        <v>25</v>
      </c>
      <c r="D14" s="277">
        <v>125</v>
      </c>
      <c r="E14" s="277">
        <v>19</v>
      </c>
      <c r="F14" s="277">
        <v>302</v>
      </c>
      <c r="G14" s="309">
        <v>25</v>
      </c>
      <c r="H14" s="277">
        <v>125</v>
      </c>
      <c r="I14" s="309">
        <v>19</v>
      </c>
      <c r="J14" s="277">
        <v>302</v>
      </c>
    </row>
    <row r="15" spans="1:10" ht="15" customHeight="1">
      <c r="A15" s="245">
        <v>10</v>
      </c>
      <c r="B15" s="252" t="s">
        <v>51</v>
      </c>
      <c r="C15" s="277">
        <v>204</v>
      </c>
      <c r="D15" s="277">
        <v>16.26</v>
      </c>
      <c r="E15" s="277">
        <v>71</v>
      </c>
      <c r="F15" s="277">
        <v>64.65</v>
      </c>
      <c r="G15" s="309">
        <v>21</v>
      </c>
      <c r="H15" s="277">
        <v>0.6</v>
      </c>
      <c r="I15" s="309">
        <v>1</v>
      </c>
      <c r="J15" s="277">
        <v>1</v>
      </c>
    </row>
    <row r="16" spans="1:10" ht="15" customHeight="1">
      <c r="A16" s="245">
        <v>11</v>
      </c>
      <c r="B16" s="252" t="s">
        <v>290</v>
      </c>
      <c r="C16" s="277">
        <v>0</v>
      </c>
      <c r="D16" s="277">
        <v>0</v>
      </c>
      <c r="E16" s="277">
        <v>1872</v>
      </c>
      <c r="F16" s="277">
        <v>3421</v>
      </c>
      <c r="G16" s="309">
        <v>0</v>
      </c>
      <c r="H16" s="277">
        <v>0</v>
      </c>
      <c r="I16" s="309">
        <v>325</v>
      </c>
      <c r="J16" s="277">
        <v>56</v>
      </c>
    </row>
    <row r="17" spans="1:10" ht="15" customHeight="1">
      <c r="A17" s="245">
        <v>12</v>
      </c>
      <c r="B17" s="252" t="s">
        <v>64</v>
      </c>
      <c r="C17" s="277">
        <v>2359</v>
      </c>
      <c r="D17" s="277">
        <v>219</v>
      </c>
      <c r="E17" s="277">
        <v>1833</v>
      </c>
      <c r="F17" s="277">
        <v>2268</v>
      </c>
      <c r="G17" s="309">
        <v>116</v>
      </c>
      <c r="H17" s="277">
        <v>1.16</v>
      </c>
      <c r="I17" s="309">
        <v>59</v>
      </c>
      <c r="J17" s="277">
        <v>264</v>
      </c>
    </row>
    <row r="18" spans="1:10" ht="15" customHeight="1">
      <c r="A18" s="245">
        <v>13</v>
      </c>
      <c r="B18" s="252" t="s">
        <v>65</v>
      </c>
      <c r="C18" s="277">
        <v>0</v>
      </c>
      <c r="D18" s="277">
        <v>0</v>
      </c>
      <c r="E18" s="277">
        <v>0</v>
      </c>
      <c r="F18" s="277">
        <v>0</v>
      </c>
      <c r="G18" s="309">
        <v>5</v>
      </c>
      <c r="H18" s="277">
        <v>0.4</v>
      </c>
      <c r="I18" s="309">
        <v>0</v>
      </c>
      <c r="J18" s="277">
        <v>0</v>
      </c>
    </row>
    <row r="19" spans="1:10" ht="15" customHeight="1">
      <c r="A19" s="245">
        <v>14</v>
      </c>
      <c r="B19" s="122" t="s">
        <v>291</v>
      </c>
      <c r="C19" s="277">
        <v>986</v>
      </c>
      <c r="D19" s="277">
        <v>93.46</v>
      </c>
      <c r="E19" s="277">
        <v>269</v>
      </c>
      <c r="F19" s="277">
        <v>186.96</v>
      </c>
      <c r="G19" s="309">
        <v>26</v>
      </c>
      <c r="H19" s="277">
        <v>0.43</v>
      </c>
      <c r="I19" s="309">
        <v>0</v>
      </c>
      <c r="J19" s="277">
        <v>0</v>
      </c>
    </row>
    <row r="20" spans="1:10" ht="15" customHeight="1">
      <c r="A20" s="245">
        <v>15</v>
      </c>
      <c r="B20" s="252" t="s">
        <v>292</v>
      </c>
      <c r="C20" s="277">
        <v>25</v>
      </c>
      <c r="D20" s="277">
        <v>1.25</v>
      </c>
      <c r="E20" s="277">
        <v>22</v>
      </c>
      <c r="F20" s="277">
        <v>22</v>
      </c>
      <c r="G20" s="309">
        <v>4</v>
      </c>
      <c r="H20" s="277">
        <v>0.02</v>
      </c>
      <c r="I20" s="309">
        <v>4</v>
      </c>
      <c r="J20" s="277">
        <v>1.77</v>
      </c>
    </row>
    <row r="21" spans="1:10" ht="15" customHeight="1">
      <c r="A21" s="245">
        <v>16</v>
      </c>
      <c r="B21" s="252" t="s">
        <v>66</v>
      </c>
      <c r="C21" s="277">
        <v>6311</v>
      </c>
      <c r="D21" s="277">
        <v>990</v>
      </c>
      <c r="E21" s="277">
        <v>2875</v>
      </c>
      <c r="F21" s="277">
        <v>2577</v>
      </c>
      <c r="G21" s="309">
        <v>149</v>
      </c>
      <c r="H21" s="277">
        <v>3</v>
      </c>
      <c r="I21" s="309">
        <v>234</v>
      </c>
      <c r="J21" s="277">
        <v>117</v>
      </c>
    </row>
    <row r="22" spans="1:10" ht="15" customHeight="1">
      <c r="A22" s="245">
        <v>17</v>
      </c>
      <c r="B22" s="135" t="s">
        <v>67</v>
      </c>
      <c r="C22" s="277">
        <v>1344</v>
      </c>
      <c r="D22" s="277">
        <v>4428</v>
      </c>
      <c r="E22" s="277">
        <v>109</v>
      </c>
      <c r="F22" s="277">
        <v>48</v>
      </c>
      <c r="G22" s="309">
        <v>16</v>
      </c>
      <c r="H22" s="277">
        <v>2</v>
      </c>
      <c r="I22" s="309">
        <v>3</v>
      </c>
      <c r="J22" s="277">
        <v>3</v>
      </c>
    </row>
    <row r="23" spans="1:10" ht="15" customHeight="1">
      <c r="A23" s="245">
        <v>18</v>
      </c>
      <c r="B23" s="80" t="s">
        <v>253</v>
      </c>
      <c r="C23" s="277">
        <v>4519</v>
      </c>
      <c r="D23" s="277">
        <v>348.23</v>
      </c>
      <c r="E23" s="277">
        <v>920</v>
      </c>
      <c r="F23" s="277">
        <v>3850</v>
      </c>
      <c r="G23" s="309">
        <v>227</v>
      </c>
      <c r="H23" s="277">
        <v>18.26</v>
      </c>
      <c r="I23" s="309">
        <v>13</v>
      </c>
      <c r="J23" s="277">
        <v>7</v>
      </c>
    </row>
    <row r="24" spans="1:10" ht="15" customHeight="1">
      <c r="A24" s="245">
        <v>19</v>
      </c>
      <c r="B24" s="136" t="s">
        <v>68</v>
      </c>
      <c r="C24" s="277">
        <v>8256</v>
      </c>
      <c r="D24" s="277">
        <v>67.28</v>
      </c>
      <c r="E24" s="277">
        <v>4084</v>
      </c>
      <c r="F24" s="277">
        <v>2874.4</v>
      </c>
      <c r="G24" s="309">
        <v>212</v>
      </c>
      <c r="H24" s="277">
        <v>0.62</v>
      </c>
      <c r="I24" s="309">
        <v>68</v>
      </c>
      <c r="J24" s="277">
        <v>4.3</v>
      </c>
    </row>
    <row r="25" spans="1:10" ht="15" customHeight="1">
      <c r="A25" s="245">
        <v>20</v>
      </c>
      <c r="B25" s="252" t="s">
        <v>69</v>
      </c>
      <c r="C25" s="277">
        <v>0</v>
      </c>
      <c r="D25" s="277">
        <v>0</v>
      </c>
      <c r="E25" s="277">
        <v>0</v>
      </c>
      <c r="F25" s="277">
        <v>0</v>
      </c>
      <c r="G25" s="277">
        <v>0</v>
      </c>
      <c r="H25" s="277">
        <v>0</v>
      </c>
      <c r="I25" s="277">
        <v>0</v>
      </c>
      <c r="J25" s="277">
        <v>0</v>
      </c>
    </row>
    <row r="26" spans="1:10" ht="15" customHeight="1">
      <c r="A26" s="245">
        <v>21</v>
      </c>
      <c r="B26" s="252" t="s">
        <v>52</v>
      </c>
      <c r="C26" s="277">
        <v>141</v>
      </c>
      <c r="D26" s="277">
        <v>1.2</v>
      </c>
      <c r="E26" s="277">
        <v>27</v>
      </c>
      <c r="F26" s="277">
        <v>15.43</v>
      </c>
      <c r="G26" s="309">
        <v>19</v>
      </c>
      <c r="H26" s="277">
        <v>0.54</v>
      </c>
      <c r="I26" s="309">
        <v>2</v>
      </c>
      <c r="J26" s="277">
        <v>1.02</v>
      </c>
    </row>
    <row r="27" spans="1:10" ht="15" customHeight="1">
      <c r="A27" s="249"/>
      <c r="B27" s="254" t="s">
        <v>293</v>
      </c>
      <c r="C27" s="280">
        <f>SUM(C6:C26)</f>
        <v>56979</v>
      </c>
      <c r="D27" s="280">
        <f aca="true" t="shared" si="0" ref="D27:J27">SUM(D6:D26)</f>
        <v>21681.739999999998</v>
      </c>
      <c r="E27" s="280">
        <f t="shared" si="0"/>
        <v>27488</v>
      </c>
      <c r="F27" s="280">
        <f t="shared" si="0"/>
        <v>27387.02</v>
      </c>
      <c r="G27" s="280">
        <f t="shared" si="0"/>
        <v>2614</v>
      </c>
      <c r="H27" s="280">
        <f t="shared" si="0"/>
        <v>241.10999999999999</v>
      </c>
      <c r="I27" s="280">
        <f t="shared" si="0"/>
        <v>1629</v>
      </c>
      <c r="J27" s="280">
        <f t="shared" si="0"/>
        <v>1304.31</v>
      </c>
    </row>
    <row r="28" spans="1:10" ht="15" customHeight="1">
      <c r="A28" s="245">
        <v>22</v>
      </c>
      <c r="B28" s="252" t="s">
        <v>294</v>
      </c>
      <c r="C28" s="277">
        <v>0</v>
      </c>
      <c r="D28" s="277">
        <v>0</v>
      </c>
      <c r="E28" s="277">
        <v>0</v>
      </c>
      <c r="F28" s="277">
        <v>0</v>
      </c>
      <c r="G28" s="277">
        <v>0</v>
      </c>
      <c r="H28" s="277">
        <v>0</v>
      </c>
      <c r="I28" s="277">
        <v>0</v>
      </c>
      <c r="J28" s="277">
        <v>0</v>
      </c>
    </row>
    <row r="29" spans="1:10" ht="15" customHeight="1">
      <c r="A29" s="245">
        <v>23</v>
      </c>
      <c r="B29" s="252" t="s">
        <v>295</v>
      </c>
      <c r="C29" s="277">
        <v>0</v>
      </c>
      <c r="D29" s="277">
        <v>0</v>
      </c>
      <c r="E29" s="277">
        <v>0</v>
      </c>
      <c r="F29" s="277">
        <v>0</v>
      </c>
      <c r="G29" s="277">
        <v>0</v>
      </c>
      <c r="H29" s="277">
        <v>0</v>
      </c>
      <c r="I29" s="277">
        <v>0</v>
      </c>
      <c r="J29" s="277">
        <v>0</v>
      </c>
    </row>
    <row r="30" spans="1:10" ht="15" customHeight="1">
      <c r="A30" s="245">
        <v>24</v>
      </c>
      <c r="B30" s="252" t="s">
        <v>296</v>
      </c>
      <c r="C30" s="277">
        <v>0</v>
      </c>
      <c r="D30" s="277">
        <v>0</v>
      </c>
      <c r="E30" s="277">
        <v>0</v>
      </c>
      <c r="F30" s="277">
        <v>0</v>
      </c>
      <c r="G30" s="309">
        <v>0</v>
      </c>
      <c r="H30" s="277">
        <v>0</v>
      </c>
      <c r="I30" s="309">
        <v>0</v>
      </c>
      <c r="J30" s="277">
        <v>0</v>
      </c>
    </row>
    <row r="31" spans="1:10" ht="15" customHeight="1">
      <c r="A31" s="245">
        <v>25</v>
      </c>
      <c r="B31" s="278" t="s">
        <v>297</v>
      </c>
      <c r="C31" s="277">
        <v>0</v>
      </c>
      <c r="D31" s="277">
        <v>0</v>
      </c>
      <c r="E31" s="277">
        <v>0</v>
      </c>
      <c r="F31" s="277">
        <v>0</v>
      </c>
      <c r="G31" s="309">
        <v>0</v>
      </c>
      <c r="H31" s="277">
        <v>0</v>
      </c>
      <c r="I31" s="309">
        <v>0</v>
      </c>
      <c r="J31" s="277">
        <v>0</v>
      </c>
    </row>
    <row r="32" spans="1:10" ht="15" customHeight="1">
      <c r="A32" s="245">
        <v>26</v>
      </c>
      <c r="B32" s="252" t="s">
        <v>298</v>
      </c>
      <c r="C32" s="277">
        <v>1</v>
      </c>
      <c r="D32" s="277">
        <v>0.5</v>
      </c>
      <c r="E32" s="277">
        <v>0</v>
      </c>
      <c r="F32" s="277">
        <v>0</v>
      </c>
      <c r="G32" s="277">
        <v>0</v>
      </c>
      <c r="H32" s="277">
        <v>0</v>
      </c>
      <c r="I32" s="277">
        <v>0</v>
      </c>
      <c r="J32" s="277">
        <v>0</v>
      </c>
    </row>
    <row r="33" spans="1:10" ht="15" customHeight="1">
      <c r="A33" s="245">
        <v>27</v>
      </c>
      <c r="B33" s="252" t="s">
        <v>72</v>
      </c>
      <c r="C33" s="277">
        <v>21022</v>
      </c>
      <c r="D33" s="277">
        <v>4116</v>
      </c>
      <c r="E33" s="277">
        <v>27302</v>
      </c>
      <c r="F33" s="277">
        <v>6900</v>
      </c>
      <c r="G33" s="309">
        <v>1000</v>
      </c>
      <c r="H33" s="277">
        <v>412</v>
      </c>
      <c r="I33" s="309">
        <v>273</v>
      </c>
      <c r="J33" s="277">
        <v>6390</v>
      </c>
    </row>
    <row r="34" spans="1:10" ht="15" customHeight="1">
      <c r="A34" s="249"/>
      <c r="B34" s="254" t="s">
        <v>299</v>
      </c>
      <c r="C34" s="280">
        <f>SUM(C28:C33)</f>
        <v>21023</v>
      </c>
      <c r="D34" s="280">
        <f aca="true" t="shared" si="1" ref="D34:J34">SUM(D28:D33)</f>
        <v>4116.5</v>
      </c>
      <c r="E34" s="280">
        <f t="shared" si="1"/>
        <v>27302</v>
      </c>
      <c r="F34" s="280">
        <f t="shared" si="1"/>
        <v>6900</v>
      </c>
      <c r="G34" s="280">
        <f t="shared" si="1"/>
        <v>1000</v>
      </c>
      <c r="H34" s="280">
        <f t="shared" si="1"/>
        <v>412</v>
      </c>
      <c r="I34" s="280">
        <f t="shared" si="1"/>
        <v>273</v>
      </c>
      <c r="J34" s="280">
        <f t="shared" si="1"/>
        <v>6390</v>
      </c>
    </row>
    <row r="35" spans="1:10" ht="15" customHeight="1">
      <c r="A35" s="245">
        <v>28</v>
      </c>
      <c r="B35" s="252" t="s">
        <v>49</v>
      </c>
      <c r="C35" s="277">
        <v>0</v>
      </c>
      <c r="D35" s="277">
        <v>0</v>
      </c>
      <c r="E35" s="277">
        <v>6</v>
      </c>
      <c r="F35" s="277">
        <v>125.71</v>
      </c>
      <c r="G35" s="309">
        <v>0</v>
      </c>
      <c r="H35" s="277">
        <v>0</v>
      </c>
      <c r="I35" s="309">
        <v>0</v>
      </c>
      <c r="J35" s="277">
        <v>0</v>
      </c>
    </row>
    <row r="36" spans="1:10" ht="15" customHeight="1">
      <c r="A36" s="245">
        <v>29</v>
      </c>
      <c r="B36" s="252" t="s">
        <v>53</v>
      </c>
      <c r="C36" s="277">
        <v>0</v>
      </c>
      <c r="D36" s="277">
        <v>0</v>
      </c>
      <c r="E36" s="277">
        <v>0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</row>
    <row r="37" spans="1:10" ht="15" customHeight="1">
      <c r="A37" s="245">
        <v>30</v>
      </c>
      <c r="B37" s="252" t="s">
        <v>300</v>
      </c>
      <c r="C37" s="277">
        <v>0</v>
      </c>
      <c r="D37" s="277">
        <v>0</v>
      </c>
      <c r="E37" s="277">
        <v>0</v>
      </c>
      <c r="F37" s="277">
        <v>0</v>
      </c>
      <c r="G37" s="277">
        <v>0</v>
      </c>
      <c r="H37" s="277">
        <v>0</v>
      </c>
      <c r="I37" s="277">
        <v>0</v>
      </c>
      <c r="J37" s="277">
        <v>0</v>
      </c>
    </row>
    <row r="38" spans="1:10" ht="15" customHeight="1">
      <c r="A38" s="245">
        <v>31</v>
      </c>
      <c r="B38" s="252" t="s">
        <v>301</v>
      </c>
      <c r="C38" s="277">
        <v>0</v>
      </c>
      <c r="D38" s="277">
        <v>0</v>
      </c>
      <c r="E38" s="277">
        <v>0</v>
      </c>
      <c r="F38" s="277">
        <v>0</v>
      </c>
      <c r="G38" s="309">
        <v>0</v>
      </c>
      <c r="H38" s="277">
        <v>0</v>
      </c>
      <c r="I38" s="309">
        <v>0</v>
      </c>
      <c r="J38" s="277">
        <v>0</v>
      </c>
    </row>
    <row r="39" spans="1:10" ht="15" customHeight="1">
      <c r="A39" s="245">
        <v>32</v>
      </c>
      <c r="B39" s="252" t="s">
        <v>302</v>
      </c>
      <c r="C39" s="277">
        <v>0</v>
      </c>
      <c r="D39" s="277">
        <v>0</v>
      </c>
      <c r="E39" s="277">
        <v>0</v>
      </c>
      <c r="F39" s="277">
        <v>0</v>
      </c>
      <c r="G39" s="309">
        <v>0</v>
      </c>
      <c r="H39" s="277">
        <v>0</v>
      </c>
      <c r="I39" s="309">
        <v>0</v>
      </c>
      <c r="J39" s="277">
        <v>0</v>
      </c>
    </row>
    <row r="40" spans="1:10" ht="15" customHeight="1">
      <c r="A40" s="245">
        <v>33</v>
      </c>
      <c r="B40" s="252" t="s">
        <v>303</v>
      </c>
      <c r="C40" s="277">
        <v>19</v>
      </c>
      <c r="D40" s="277">
        <v>41.05</v>
      </c>
      <c r="E40" s="277">
        <v>129</v>
      </c>
      <c r="F40" s="277">
        <v>158.09</v>
      </c>
      <c r="G40" s="309">
        <v>19</v>
      </c>
      <c r="H40" s="277">
        <v>41.05</v>
      </c>
      <c r="I40" s="309">
        <v>129</v>
      </c>
      <c r="J40" s="277">
        <v>158.09</v>
      </c>
    </row>
    <row r="41" spans="1:10" ht="15" customHeight="1">
      <c r="A41" s="245">
        <v>34</v>
      </c>
      <c r="B41" s="252" t="s">
        <v>304</v>
      </c>
      <c r="C41" s="277">
        <v>6229</v>
      </c>
      <c r="D41" s="277">
        <v>3911.40098</v>
      </c>
      <c r="E41" s="277">
        <v>6229</v>
      </c>
      <c r="F41" s="277">
        <v>3911.401</v>
      </c>
      <c r="G41" s="309">
        <v>447</v>
      </c>
      <c r="H41" s="277">
        <v>560.9</v>
      </c>
      <c r="I41" s="309">
        <v>447</v>
      </c>
      <c r="J41" s="277">
        <v>560.9</v>
      </c>
    </row>
    <row r="42" spans="1:10" ht="15" customHeight="1">
      <c r="A42" s="245">
        <v>35</v>
      </c>
      <c r="B42" s="252" t="s">
        <v>305</v>
      </c>
      <c r="C42" s="277">
        <v>0</v>
      </c>
      <c r="D42" s="277">
        <v>0</v>
      </c>
      <c r="E42" s="277">
        <v>0</v>
      </c>
      <c r="F42" s="277">
        <v>0</v>
      </c>
      <c r="G42" s="277">
        <v>0</v>
      </c>
      <c r="H42" s="277">
        <v>0</v>
      </c>
      <c r="I42" s="277">
        <v>0</v>
      </c>
      <c r="J42" s="277">
        <v>0</v>
      </c>
    </row>
    <row r="43" spans="1:10" ht="15" customHeight="1">
      <c r="A43" s="179">
        <v>36</v>
      </c>
      <c r="B43" s="180" t="s">
        <v>255</v>
      </c>
      <c r="C43" s="277">
        <v>189964</v>
      </c>
      <c r="D43" s="277">
        <v>41133</v>
      </c>
      <c r="E43" s="277">
        <v>189964</v>
      </c>
      <c r="F43" s="277">
        <v>41133</v>
      </c>
      <c r="G43" s="320">
        <v>19638</v>
      </c>
      <c r="H43" s="320">
        <v>4252</v>
      </c>
      <c r="I43" s="320">
        <v>19638</v>
      </c>
      <c r="J43" s="320">
        <v>4252</v>
      </c>
    </row>
    <row r="44" spans="1:10" ht="15" customHeight="1">
      <c r="A44" s="245">
        <v>37</v>
      </c>
      <c r="B44" s="252" t="s">
        <v>306</v>
      </c>
      <c r="C44" s="277">
        <v>0</v>
      </c>
      <c r="D44" s="277">
        <v>0</v>
      </c>
      <c r="E44" s="277">
        <v>0</v>
      </c>
      <c r="F44" s="277">
        <v>0</v>
      </c>
      <c r="G44" s="277">
        <v>0</v>
      </c>
      <c r="H44" s="277">
        <v>0</v>
      </c>
      <c r="I44" s="277">
        <v>0</v>
      </c>
      <c r="J44" s="277">
        <v>0</v>
      </c>
    </row>
    <row r="45" spans="1:10" ht="15" customHeight="1">
      <c r="A45" s="245">
        <v>38</v>
      </c>
      <c r="B45" s="252" t="s">
        <v>307</v>
      </c>
      <c r="C45" s="277">
        <v>0</v>
      </c>
      <c r="D45" s="277">
        <v>0</v>
      </c>
      <c r="E45" s="277">
        <v>0</v>
      </c>
      <c r="F45" s="277">
        <v>0</v>
      </c>
      <c r="G45" s="277">
        <v>0</v>
      </c>
      <c r="H45" s="277">
        <v>0</v>
      </c>
      <c r="I45" s="277">
        <v>0</v>
      </c>
      <c r="J45" s="277">
        <v>0</v>
      </c>
    </row>
    <row r="46" spans="1:10" ht="15" customHeight="1">
      <c r="A46" s="245">
        <v>39</v>
      </c>
      <c r="B46" s="252" t="s">
        <v>95</v>
      </c>
      <c r="C46" s="277">
        <v>0</v>
      </c>
      <c r="D46" s="277">
        <v>0</v>
      </c>
      <c r="E46" s="277">
        <v>0</v>
      </c>
      <c r="F46" s="277">
        <v>0</v>
      </c>
      <c r="G46" s="277">
        <v>0</v>
      </c>
      <c r="H46" s="277">
        <v>0</v>
      </c>
      <c r="I46" s="277">
        <v>0</v>
      </c>
      <c r="J46" s="277">
        <v>0</v>
      </c>
    </row>
    <row r="47" spans="1:10" ht="15" customHeight="1">
      <c r="A47" s="245">
        <v>40</v>
      </c>
      <c r="B47" s="252" t="s">
        <v>308</v>
      </c>
      <c r="C47" s="277">
        <v>0</v>
      </c>
      <c r="D47" s="277">
        <v>0</v>
      </c>
      <c r="E47" s="277">
        <v>0</v>
      </c>
      <c r="F47" s="277">
        <v>0</v>
      </c>
      <c r="G47" s="277">
        <v>0</v>
      </c>
      <c r="H47" s="277">
        <v>0</v>
      </c>
      <c r="I47" s="277">
        <v>0</v>
      </c>
      <c r="J47" s="277">
        <v>0</v>
      </c>
    </row>
    <row r="48" spans="1:10" ht="15" customHeight="1">
      <c r="A48" s="245">
        <v>41</v>
      </c>
      <c r="B48" s="252" t="s">
        <v>309</v>
      </c>
      <c r="C48" s="277">
        <v>0</v>
      </c>
      <c r="D48" s="277">
        <v>0</v>
      </c>
      <c r="E48" s="277">
        <v>0</v>
      </c>
      <c r="F48" s="277">
        <v>0</v>
      </c>
      <c r="G48" s="277">
        <v>0</v>
      </c>
      <c r="H48" s="277">
        <v>0</v>
      </c>
      <c r="I48" s="277">
        <v>0</v>
      </c>
      <c r="J48" s="277">
        <v>0</v>
      </c>
    </row>
    <row r="49" spans="1:10" ht="15" customHeight="1">
      <c r="A49" s="245">
        <v>42</v>
      </c>
      <c r="B49" s="279" t="s">
        <v>310</v>
      </c>
      <c r="C49" s="277">
        <v>0</v>
      </c>
      <c r="D49" s="277">
        <v>0</v>
      </c>
      <c r="E49" s="277">
        <v>0</v>
      </c>
      <c r="F49" s="277">
        <v>0</v>
      </c>
      <c r="G49" s="277">
        <v>0</v>
      </c>
      <c r="H49" s="277">
        <v>0</v>
      </c>
      <c r="I49" s="277">
        <v>0</v>
      </c>
      <c r="J49" s="277">
        <v>0</v>
      </c>
    </row>
    <row r="50" spans="1:10" ht="15" customHeight="1">
      <c r="A50" s="245">
        <v>43</v>
      </c>
      <c r="B50" s="252" t="s">
        <v>311</v>
      </c>
      <c r="C50" s="277">
        <v>0</v>
      </c>
      <c r="D50" s="277">
        <v>0</v>
      </c>
      <c r="E50" s="277">
        <v>0</v>
      </c>
      <c r="F50" s="277">
        <v>0</v>
      </c>
      <c r="G50" s="277">
        <v>0</v>
      </c>
      <c r="H50" s="277">
        <v>0</v>
      </c>
      <c r="I50" s="277">
        <v>0</v>
      </c>
      <c r="J50" s="277">
        <v>0</v>
      </c>
    </row>
    <row r="51" spans="1:10" ht="15" customHeight="1">
      <c r="A51" s="245">
        <v>44</v>
      </c>
      <c r="B51" s="252" t="s">
        <v>78</v>
      </c>
      <c r="C51" s="277">
        <v>0</v>
      </c>
      <c r="D51" s="277">
        <v>0</v>
      </c>
      <c r="E51" s="277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</row>
    <row r="52" spans="1:10" ht="15" customHeight="1">
      <c r="A52" s="254"/>
      <c r="B52" s="254" t="s">
        <v>274</v>
      </c>
      <c r="C52" s="280">
        <f>SUM(C35:C51)</f>
        <v>196212</v>
      </c>
      <c r="D52" s="280">
        <f aca="true" t="shared" si="2" ref="D52:J52">SUM(D35:D51)</f>
        <v>45085.45098</v>
      </c>
      <c r="E52" s="280">
        <f t="shared" si="2"/>
        <v>196328</v>
      </c>
      <c r="F52" s="280">
        <f t="shared" si="2"/>
        <v>45328.201</v>
      </c>
      <c r="G52" s="280">
        <f t="shared" si="2"/>
        <v>20104</v>
      </c>
      <c r="H52" s="280">
        <f t="shared" si="2"/>
        <v>4853.95</v>
      </c>
      <c r="I52" s="280">
        <f t="shared" si="2"/>
        <v>20214</v>
      </c>
      <c r="J52" s="280">
        <f t="shared" si="2"/>
        <v>4970.99</v>
      </c>
    </row>
    <row r="53" spans="1:10" ht="15" customHeight="1">
      <c r="A53" s="245">
        <v>45</v>
      </c>
      <c r="B53" s="252" t="s">
        <v>48</v>
      </c>
      <c r="C53" s="277">
        <v>20815</v>
      </c>
      <c r="D53" s="277">
        <v>2997</v>
      </c>
      <c r="E53" s="277">
        <v>11843</v>
      </c>
      <c r="F53" s="277">
        <v>2913</v>
      </c>
      <c r="G53" s="309">
        <v>477</v>
      </c>
      <c r="H53" s="277">
        <v>8</v>
      </c>
      <c r="I53" s="309">
        <v>57</v>
      </c>
      <c r="J53" s="277">
        <v>16</v>
      </c>
    </row>
    <row r="54" spans="1:10" ht="15" customHeight="1">
      <c r="A54" s="245">
        <v>46</v>
      </c>
      <c r="B54" s="252" t="s">
        <v>269</v>
      </c>
      <c r="C54" s="277">
        <v>38107</v>
      </c>
      <c r="D54" s="277">
        <v>2449</v>
      </c>
      <c r="E54" s="277">
        <v>14798</v>
      </c>
      <c r="F54" s="277">
        <v>4789</v>
      </c>
      <c r="G54" s="309">
        <v>559</v>
      </c>
      <c r="H54" s="277">
        <v>5</v>
      </c>
      <c r="I54" s="309">
        <v>44</v>
      </c>
      <c r="J54" s="277">
        <v>36</v>
      </c>
    </row>
    <row r="55" spans="1:10" ht="15" customHeight="1">
      <c r="A55" s="245">
        <v>47</v>
      </c>
      <c r="B55" s="252" t="s">
        <v>54</v>
      </c>
      <c r="C55" s="277">
        <v>40599</v>
      </c>
      <c r="D55" s="277">
        <v>82826</v>
      </c>
      <c r="E55" s="277">
        <v>17546</v>
      </c>
      <c r="F55" s="277">
        <v>15845.01</v>
      </c>
      <c r="G55" s="309">
        <v>493</v>
      </c>
      <c r="H55" s="277">
        <v>83.81</v>
      </c>
      <c r="I55" s="309">
        <v>228</v>
      </c>
      <c r="J55" s="277">
        <v>127.01</v>
      </c>
    </row>
    <row r="56" spans="1:10" ht="15" customHeight="1">
      <c r="A56" s="254"/>
      <c r="B56" s="254" t="s">
        <v>270</v>
      </c>
      <c r="C56" s="280">
        <f>SUM(C53:C55)</f>
        <v>99521</v>
      </c>
      <c r="D56" s="280">
        <f aca="true" t="shared" si="3" ref="D56:J56">SUM(D53:D55)</f>
        <v>88272</v>
      </c>
      <c r="E56" s="280">
        <f t="shared" si="3"/>
        <v>44187</v>
      </c>
      <c r="F56" s="280">
        <f t="shared" si="3"/>
        <v>23547.010000000002</v>
      </c>
      <c r="G56" s="280">
        <f t="shared" si="3"/>
        <v>1529</v>
      </c>
      <c r="H56" s="280">
        <f t="shared" si="3"/>
        <v>96.81</v>
      </c>
      <c r="I56" s="280">
        <f t="shared" si="3"/>
        <v>329</v>
      </c>
      <c r="J56" s="280">
        <f t="shared" si="3"/>
        <v>179.01</v>
      </c>
    </row>
    <row r="57" spans="1:10" ht="15" customHeight="1">
      <c r="A57" s="245">
        <v>48</v>
      </c>
      <c r="B57" s="252" t="s">
        <v>312</v>
      </c>
      <c r="C57" s="277">
        <v>12144</v>
      </c>
      <c r="D57" s="277">
        <v>1083</v>
      </c>
      <c r="E57" s="277">
        <v>622</v>
      </c>
      <c r="F57" s="277">
        <v>273</v>
      </c>
      <c r="G57" s="309">
        <v>0</v>
      </c>
      <c r="H57" s="309">
        <v>0</v>
      </c>
      <c r="I57" s="309">
        <v>0</v>
      </c>
      <c r="J57" s="309">
        <v>0</v>
      </c>
    </row>
    <row r="58" spans="1:10" ht="15" customHeight="1">
      <c r="A58" s="254"/>
      <c r="B58" s="254" t="s">
        <v>275</v>
      </c>
      <c r="C58" s="280">
        <f>C57</f>
        <v>12144</v>
      </c>
      <c r="D58" s="280">
        <f aca="true" t="shared" si="4" ref="D58:J58">D57</f>
        <v>1083</v>
      </c>
      <c r="E58" s="280">
        <f t="shared" si="4"/>
        <v>622</v>
      </c>
      <c r="F58" s="280">
        <f t="shared" si="4"/>
        <v>273</v>
      </c>
      <c r="G58" s="280">
        <f t="shared" si="4"/>
        <v>0</v>
      </c>
      <c r="H58" s="280">
        <f t="shared" si="4"/>
        <v>0</v>
      </c>
      <c r="I58" s="280">
        <f t="shared" si="4"/>
        <v>0</v>
      </c>
      <c r="J58" s="280">
        <f t="shared" si="4"/>
        <v>0</v>
      </c>
    </row>
    <row r="59" spans="1:10" ht="15" customHeight="1">
      <c r="A59" s="291"/>
      <c r="B59" s="254" t="s">
        <v>276</v>
      </c>
      <c r="C59" s="312">
        <f>C58+C56+C52+C34+C27</f>
        <v>385879</v>
      </c>
      <c r="D59" s="312">
        <f aca="true" t="shared" si="5" ref="D59:J59">D58+D56+D52+D34+D27</f>
        <v>160238.69097999998</v>
      </c>
      <c r="E59" s="312">
        <f t="shared" si="5"/>
        <v>295927</v>
      </c>
      <c r="F59" s="312">
        <f t="shared" si="5"/>
        <v>103435.23100000001</v>
      </c>
      <c r="G59" s="312">
        <f t="shared" si="5"/>
        <v>25247</v>
      </c>
      <c r="H59" s="312">
        <f t="shared" si="5"/>
        <v>5603.87</v>
      </c>
      <c r="I59" s="312">
        <f t="shared" si="5"/>
        <v>22445</v>
      </c>
      <c r="J59" s="312">
        <f t="shared" si="5"/>
        <v>12844.31</v>
      </c>
    </row>
    <row r="60" spans="1:10" s="295" customFormat="1" ht="15">
      <c r="A60" s="292"/>
      <c r="B60" s="293"/>
      <c r="C60" s="294"/>
      <c r="D60" s="294"/>
      <c r="E60" s="294"/>
      <c r="F60" s="294"/>
      <c r="H60" s="294"/>
      <c r="J60" s="294"/>
    </row>
    <row r="61" spans="1:10" s="295" customFormat="1" ht="15">
      <c r="A61" s="292"/>
      <c r="B61" s="296"/>
      <c r="C61" s="294"/>
      <c r="D61" s="294"/>
      <c r="E61" s="294"/>
      <c r="F61" s="294"/>
      <c r="H61" s="294"/>
      <c r="J61" s="294"/>
    </row>
    <row r="62" spans="1:10" s="295" customFormat="1" ht="15">
      <c r="A62" s="292"/>
      <c r="B62" s="293"/>
      <c r="C62" s="294"/>
      <c r="D62" s="294"/>
      <c r="E62" s="294"/>
      <c r="F62" s="294"/>
      <c r="H62" s="294"/>
      <c r="J62" s="294"/>
    </row>
    <row r="63" spans="1:10" s="295" customFormat="1" ht="15">
      <c r="A63" s="292"/>
      <c r="B63" s="293"/>
      <c r="C63" s="294"/>
      <c r="D63" s="294"/>
      <c r="E63" s="294"/>
      <c r="F63" s="294"/>
      <c r="H63" s="294"/>
      <c r="J63" s="294"/>
    </row>
  </sheetData>
  <sheetProtection/>
  <mergeCells count="10">
    <mergeCell ref="A1:J1"/>
    <mergeCell ref="I2:J2"/>
    <mergeCell ref="A3:A4"/>
    <mergeCell ref="B3:B4"/>
    <mergeCell ref="C4:D4"/>
    <mergeCell ref="E4:F4"/>
    <mergeCell ref="C3:F3"/>
    <mergeCell ref="G3:J3"/>
    <mergeCell ref="G4:H4"/>
    <mergeCell ref="I4:J4"/>
  </mergeCells>
  <conditionalFormatting sqref="C2">
    <cfRule type="cellIs" priority="8" dxfId="198" operator="lessThan">
      <formula>0</formula>
    </cfRule>
  </conditionalFormatting>
  <conditionalFormatting sqref="I2">
    <cfRule type="cellIs" priority="7" dxfId="198" operator="lessThan">
      <formula>0</formula>
    </cfRule>
  </conditionalFormatting>
  <conditionalFormatting sqref="B6">
    <cfRule type="duplicateValues" priority="1" dxfId="197">
      <formula>AND(COUNTIF($B$6:$B$6,B6)&gt;1,NOT(ISBLANK(B6)))</formula>
    </cfRule>
  </conditionalFormatting>
  <conditionalFormatting sqref="B22">
    <cfRule type="duplicateValues" priority="2" dxfId="197">
      <formula>AND(COUNTIF($B$22:$B$22,B22)&gt;1,NOT(ISBLANK(B22)))</formula>
    </cfRule>
  </conditionalFormatting>
  <conditionalFormatting sqref="B33:B34 B26:B30">
    <cfRule type="duplicateValues" priority="3" dxfId="197">
      <formula>AND(COUNTIF($B$33:$B$34,B26)+COUNTIF($B$26:$B$30,B26)&gt;1,NOT(ISBLANK(B26)))</formula>
    </cfRule>
  </conditionalFormatting>
  <conditionalFormatting sqref="B52">
    <cfRule type="duplicateValues" priority="4" dxfId="197">
      <formula>AND(COUNTIF($B$52:$B$52,B52)&gt;1,NOT(ISBLANK(B52)))</formula>
    </cfRule>
  </conditionalFormatting>
  <conditionalFormatting sqref="B56">
    <cfRule type="duplicateValues" priority="5" dxfId="197">
      <formula>AND(COUNTIF($B$56:$B$56,B56)&gt;1,NOT(ISBLANK(B56)))</formula>
    </cfRule>
  </conditionalFormatting>
  <conditionalFormatting sqref="B58">
    <cfRule type="duplicateValues" priority="6" dxfId="197">
      <formula>AND(COUNTIF($B$58:$B$58,B58)&gt;1,NOT(ISBLANK(B58)))</formula>
    </cfRule>
  </conditionalFormatting>
  <printOptions/>
  <pageMargins left="1.2" right="0.7" top="0.5" bottom="0.5" header="0.3" footer="0.3"/>
  <pageSetup horizontalDpi="600" verticalDpi="600" orientation="portrait" paperSize="9" scale="80" r:id="rId1"/>
  <rowBreaks count="1" manualBreakCount="1">
    <brk id="5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9" sqref="E29"/>
    </sheetView>
  </sheetViews>
  <sheetFormatPr defaultColWidth="9.140625" defaultRowHeight="12.75"/>
  <cols>
    <col min="1" max="1" width="5.57421875" style="23" customWidth="1"/>
    <col min="2" max="2" width="25.421875" style="12" customWidth="1"/>
    <col min="3" max="3" width="10.57421875" style="12" customWidth="1"/>
    <col min="4" max="4" width="9.140625" style="24" customWidth="1"/>
    <col min="5" max="5" width="10.140625" style="12" customWidth="1"/>
    <col min="6" max="6" width="9.140625" style="24" customWidth="1"/>
    <col min="7" max="7" width="9.8515625" style="12" bestFit="1" customWidth="1"/>
    <col min="8" max="8" width="9.140625" style="24" customWidth="1"/>
    <col min="9" max="9" width="9.8515625" style="12" bestFit="1" customWidth="1"/>
    <col min="10" max="10" width="13.00390625" style="24" customWidth="1"/>
    <col min="11" max="16384" width="9.140625" style="12" customWidth="1"/>
  </cols>
  <sheetData>
    <row r="1" spans="1:10" ht="15">
      <c r="A1" s="584" t="s">
        <v>103</v>
      </c>
      <c r="B1" s="584"/>
      <c r="C1" s="584"/>
      <c r="D1" s="584"/>
      <c r="E1" s="584"/>
      <c r="F1" s="584"/>
      <c r="G1" s="584"/>
      <c r="H1" s="584"/>
      <c r="I1" s="584"/>
      <c r="J1" s="584"/>
    </row>
    <row r="2" spans="1:10" ht="15">
      <c r="A2" s="13"/>
      <c r="B2" s="14" t="s">
        <v>113</v>
      </c>
      <c r="C2" s="584" t="s">
        <v>104</v>
      </c>
      <c r="D2" s="584"/>
      <c r="E2" s="584"/>
      <c r="F2" s="584"/>
      <c r="G2" s="584" t="s">
        <v>121</v>
      </c>
      <c r="H2" s="584"/>
      <c r="I2" s="584"/>
      <c r="J2" s="15" t="s">
        <v>105</v>
      </c>
    </row>
    <row r="3" spans="1:10" ht="34.5" customHeight="1">
      <c r="A3" s="16" t="s">
        <v>106</v>
      </c>
      <c r="B3" s="17" t="s">
        <v>107</v>
      </c>
      <c r="C3" s="657" t="s">
        <v>108</v>
      </c>
      <c r="D3" s="657"/>
      <c r="E3" s="657" t="s">
        <v>109</v>
      </c>
      <c r="F3" s="657"/>
      <c r="G3" s="657" t="s">
        <v>108</v>
      </c>
      <c r="H3" s="657"/>
      <c r="I3" s="657" t="s">
        <v>109</v>
      </c>
      <c r="J3" s="657"/>
    </row>
    <row r="4" spans="1:10" ht="21.75" customHeight="1">
      <c r="A4" s="18"/>
      <c r="B4" s="11"/>
      <c r="C4" s="18" t="s">
        <v>110</v>
      </c>
      <c r="D4" s="19" t="s">
        <v>17</v>
      </c>
      <c r="E4" s="18" t="s">
        <v>110</v>
      </c>
      <c r="F4" s="19" t="s">
        <v>17</v>
      </c>
      <c r="G4" s="18" t="s">
        <v>110</v>
      </c>
      <c r="H4" s="19" t="s">
        <v>17</v>
      </c>
      <c r="I4" s="18" t="s">
        <v>110</v>
      </c>
      <c r="J4" s="19" t="s">
        <v>17</v>
      </c>
    </row>
    <row r="5" spans="1:10" ht="15">
      <c r="A5" s="20">
        <v>1</v>
      </c>
      <c r="B5" s="21" t="s">
        <v>57</v>
      </c>
      <c r="C5" s="21">
        <v>5727</v>
      </c>
      <c r="D5" s="22">
        <v>94.81</v>
      </c>
      <c r="E5" s="21">
        <v>2617</v>
      </c>
      <c r="F5" s="22">
        <v>19.9</v>
      </c>
      <c r="G5" s="21">
        <v>10088</v>
      </c>
      <c r="H5" s="22">
        <v>116.24</v>
      </c>
      <c r="I5" s="21">
        <v>4563</v>
      </c>
      <c r="J5" s="22">
        <v>27.68</v>
      </c>
    </row>
    <row r="6" spans="1:10" ht="15">
      <c r="A6" s="20">
        <v>2</v>
      </c>
      <c r="B6" s="21" t="s">
        <v>58</v>
      </c>
      <c r="C6" s="21">
        <v>0</v>
      </c>
      <c r="D6" s="22">
        <v>0</v>
      </c>
      <c r="E6" s="21">
        <v>0</v>
      </c>
      <c r="F6" s="22">
        <v>0</v>
      </c>
      <c r="G6" s="21">
        <v>0</v>
      </c>
      <c r="H6" s="22">
        <v>0</v>
      </c>
      <c r="I6" s="21">
        <v>0</v>
      </c>
      <c r="J6" s="22">
        <v>0</v>
      </c>
    </row>
    <row r="7" spans="1:10" ht="15">
      <c r="A7" s="20">
        <v>3</v>
      </c>
      <c r="B7" s="21" t="s">
        <v>59</v>
      </c>
      <c r="C7" s="21">
        <v>2758</v>
      </c>
      <c r="D7" s="22">
        <v>30.78</v>
      </c>
      <c r="E7" s="21">
        <v>0</v>
      </c>
      <c r="F7" s="22">
        <v>0</v>
      </c>
      <c r="G7" s="21">
        <v>0</v>
      </c>
      <c r="H7" s="22">
        <v>0</v>
      </c>
      <c r="I7" s="21">
        <v>0</v>
      </c>
      <c r="J7" s="22">
        <v>0</v>
      </c>
    </row>
    <row r="8" spans="1:10" ht="15">
      <c r="A8" s="20">
        <v>4</v>
      </c>
      <c r="B8" s="21" t="s">
        <v>60</v>
      </c>
      <c r="C8" s="21">
        <v>2931</v>
      </c>
      <c r="D8" s="22">
        <v>58.68</v>
      </c>
      <c r="E8" s="21">
        <v>2931</v>
      </c>
      <c r="F8" s="22">
        <v>41.07</v>
      </c>
      <c r="G8" s="21">
        <v>2602</v>
      </c>
      <c r="H8" s="22">
        <v>42.44</v>
      </c>
      <c r="I8" s="21">
        <v>2602</v>
      </c>
      <c r="J8" s="22">
        <v>29.7</v>
      </c>
    </row>
    <row r="9" spans="1:10" ht="15">
      <c r="A9" s="20">
        <v>5</v>
      </c>
      <c r="B9" s="1" t="s">
        <v>61</v>
      </c>
      <c r="C9" s="21">
        <v>68</v>
      </c>
      <c r="D9" s="22">
        <v>1.13</v>
      </c>
      <c r="E9" s="21">
        <v>0</v>
      </c>
      <c r="F9" s="22">
        <v>0</v>
      </c>
      <c r="G9" s="21">
        <v>0</v>
      </c>
      <c r="H9" s="22">
        <v>0</v>
      </c>
      <c r="I9" s="21">
        <v>0</v>
      </c>
      <c r="J9" s="22">
        <v>0</v>
      </c>
    </row>
    <row r="10" spans="1:10" ht="15">
      <c r="A10" s="20">
        <v>6</v>
      </c>
      <c r="B10" s="1" t="s">
        <v>62</v>
      </c>
      <c r="C10" s="21">
        <v>1509</v>
      </c>
      <c r="D10" s="22">
        <v>71.54</v>
      </c>
      <c r="E10" s="21">
        <v>767</v>
      </c>
      <c r="F10" s="22">
        <v>38.68</v>
      </c>
      <c r="G10" s="21">
        <v>6185</v>
      </c>
      <c r="H10" s="22">
        <v>228.82</v>
      </c>
      <c r="I10" s="21">
        <v>3278</v>
      </c>
      <c r="J10" s="22">
        <v>116.98</v>
      </c>
    </row>
    <row r="11" spans="1:10" ht="15">
      <c r="A11" s="20">
        <v>7</v>
      </c>
      <c r="B11" s="1" t="s">
        <v>50</v>
      </c>
      <c r="C11" s="21">
        <v>25</v>
      </c>
      <c r="D11" s="22">
        <v>0.13</v>
      </c>
      <c r="E11" s="21">
        <v>0</v>
      </c>
      <c r="F11" s="22">
        <v>0</v>
      </c>
      <c r="G11" s="21">
        <v>0</v>
      </c>
      <c r="H11" s="22">
        <v>0</v>
      </c>
      <c r="I11" s="21">
        <v>0</v>
      </c>
      <c r="J11" s="22">
        <v>0</v>
      </c>
    </row>
    <row r="12" spans="1:10" ht="15">
      <c r="A12" s="20">
        <v>8</v>
      </c>
      <c r="B12" s="1" t="s">
        <v>63</v>
      </c>
      <c r="C12" s="21">
        <v>5501</v>
      </c>
      <c r="D12" s="22">
        <v>128.26</v>
      </c>
      <c r="E12" s="21">
        <v>2872</v>
      </c>
      <c r="F12" s="22">
        <v>43.65</v>
      </c>
      <c r="G12" s="21">
        <v>2974</v>
      </c>
      <c r="H12" s="22">
        <v>37.9</v>
      </c>
      <c r="I12" s="21">
        <v>618</v>
      </c>
      <c r="J12" s="22">
        <v>10.25</v>
      </c>
    </row>
    <row r="13" spans="1:10" ht="15">
      <c r="A13" s="20">
        <v>9</v>
      </c>
      <c r="B13" s="1" t="s">
        <v>51</v>
      </c>
      <c r="C13" s="21">
        <v>10</v>
      </c>
      <c r="D13" s="22">
        <v>0.18</v>
      </c>
      <c r="E13" s="21">
        <v>0</v>
      </c>
      <c r="F13" s="22">
        <v>0</v>
      </c>
      <c r="G13" s="21">
        <v>0</v>
      </c>
      <c r="H13" s="22">
        <v>0</v>
      </c>
      <c r="I13" s="21">
        <v>0</v>
      </c>
      <c r="J13" s="22">
        <v>0</v>
      </c>
    </row>
    <row r="14" spans="1:10" ht="15">
      <c r="A14" s="20">
        <v>10</v>
      </c>
      <c r="B14" s="1" t="s">
        <v>83</v>
      </c>
      <c r="C14" s="21">
        <v>0</v>
      </c>
      <c r="D14" s="22">
        <v>0</v>
      </c>
      <c r="E14" s="21">
        <v>0</v>
      </c>
      <c r="F14" s="22">
        <v>0</v>
      </c>
      <c r="G14" s="21">
        <v>7</v>
      </c>
      <c r="H14" s="22">
        <v>0.11</v>
      </c>
      <c r="I14" s="21">
        <v>0</v>
      </c>
      <c r="J14" s="22">
        <v>0</v>
      </c>
    </row>
    <row r="15" spans="1:10" ht="15">
      <c r="A15" s="20">
        <v>11</v>
      </c>
      <c r="B15" s="1" t="s">
        <v>64</v>
      </c>
      <c r="C15" s="21">
        <v>0</v>
      </c>
      <c r="D15" s="22">
        <v>0</v>
      </c>
      <c r="E15" s="21">
        <v>0</v>
      </c>
      <c r="F15" s="22">
        <v>0</v>
      </c>
      <c r="G15" s="21">
        <v>0</v>
      </c>
      <c r="H15" s="22">
        <v>0</v>
      </c>
      <c r="I15" s="21">
        <v>0</v>
      </c>
      <c r="J15" s="22">
        <v>0</v>
      </c>
    </row>
    <row r="16" spans="1:10" ht="15">
      <c r="A16" s="20">
        <v>12</v>
      </c>
      <c r="B16" s="1" t="s">
        <v>65</v>
      </c>
      <c r="C16" s="21">
        <v>0</v>
      </c>
      <c r="D16" s="22">
        <v>0</v>
      </c>
      <c r="E16" s="21">
        <v>0</v>
      </c>
      <c r="F16" s="22">
        <v>0</v>
      </c>
      <c r="G16" s="21">
        <v>0</v>
      </c>
      <c r="H16" s="22">
        <v>0</v>
      </c>
      <c r="I16" s="21">
        <v>0</v>
      </c>
      <c r="J16" s="22">
        <v>0</v>
      </c>
    </row>
    <row r="17" spans="1:10" ht="15">
      <c r="A17" s="20">
        <v>13</v>
      </c>
      <c r="B17" s="1" t="s">
        <v>84</v>
      </c>
      <c r="C17" s="21">
        <v>11</v>
      </c>
      <c r="D17" s="22">
        <v>0.18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0</v>
      </c>
    </row>
    <row r="18" spans="1:10" ht="15">
      <c r="A18" s="20">
        <v>14</v>
      </c>
      <c r="B18" s="1" t="s">
        <v>85</v>
      </c>
      <c r="C18" s="21">
        <v>0</v>
      </c>
      <c r="D18" s="22">
        <v>0</v>
      </c>
      <c r="E18" s="21">
        <v>0</v>
      </c>
      <c r="F18" s="22">
        <v>0</v>
      </c>
      <c r="G18" s="21">
        <v>83</v>
      </c>
      <c r="H18" s="22">
        <v>6.91</v>
      </c>
      <c r="I18" s="21">
        <v>3</v>
      </c>
      <c r="J18" s="22">
        <v>0.55</v>
      </c>
    </row>
    <row r="19" spans="1:10" ht="15">
      <c r="A19" s="20">
        <v>15</v>
      </c>
      <c r="B19" s="1" t="s">
        <v>66</v>
      </c>
      <c r="C19" s="21">
        <v>24061</v>
      </c>
      <c r="D19" s="22">
        <v>362.75</v>
      </c>
      <c r="E19" s="21">
        <v>7218</v>
      </c>
      <c r="F19" s="22">
        <v>108.82</v>
      </c>
      <c r="G19" s="21">
        <v>2712</v>
      </c>
      <c r="H19" s="22">
        <v>40.61</v>
      </c>
      <c r="I19" s="21">
        <v>542</v>
      </c>
      <c r="J19" s="22">
        <v>80.12</v>
      </c>
    </row>
    <row r="20" spans="1:10" ht="15">
      <c r="A20" s="20">
        <v>16</v>
      </c>
      <c r="B20" s="1" t="s">
        <v>67</v>
      </c>
      <c r="C20" s="21">
        <v>0</v>
      </c>
      <c r="D20" s="22">
        <v>0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0</v>
      </c>
    </row>
    <row r="21" spans="1:10" ht="15">
      <c r="A21" s="20">
        <v>17</v>
      </c>
      <c r="B21" s="1" t="s">
        <v>82</v>
      </c>
      <c r="C21" s="21">
        <v>299</v>
      </c>
      <c r="D21" s="22">
        <v>6.69</v>
      </c>
      <c r="E21" s="21">
        <v>120</v>
      </c>
      <c r="F21" s="22">
        <v>2.21</v>
      </c>
      <c r="G21" s="21">
        <v>619</v>
      </c>
      <c r="H21" s="22">
        <v>6.75</v>
      </c>
      <c r="I21" s="21">
        <v>264</v>
      </c>
      <c r="J21" s="22">
        <v>2.45</v>
      </c>
    </row>
    <row r="22" spans="1:10" ht="15">
      <c r="A22" s="20">
        <v>18</v>
      </c>
      <c r="B22" s="1" t="s">
        <v>68</v>
      </c>
      <c r="C22" s="21">
        <v>153</v>
      </c>
      <c r="D22" s="22">
        <v>3.52</v>
      </c>
      <c r="E22" s="21">
        <v>0</v>
      </c>
      <c r="F22" s="22">
        <v>0</v>
      </c>
      <c r="G22" s="21">
        <v>0</v>
      </c>
      <c r="H22" s="22">
        <v>0</v>
      </c>
      <c r="I22" s="21">
        <v>0</v>
      </c>
      <c r="J22" s="22">
        <v>0</v>
      </c>
    </row>
    <row r="23" spans="1:10" ht="15">
      <c r="A23" s="20">
        <v>19</v>
      </c>
      <c r="B23" s="1" t="s">
        <v>69</v>
      </c>
      <c r="C23" s="21">
        <v>0</v>
      </c>
      <c r="D23" s="22">
        <v>0</v>
      </c>
      <c r="E23" s="21">
        <v>0</v>
      </c>
      <c r="F23" s="22">
        <v>0</v>
      </c>
      <c r="G23" s="21">
        <v>0</v>
      </c>
      <c r="H23" s="22">
        <v>0</v>
      </c>
      <c r="I23" s="21">
        <v>0</v>
      </c>
      <c r="J23" s="22">
        <v>0</v>
      </c>
    </row>
    <row r="24" spans="1:10" ht="15">
      <c r="A24" s="20">
        <v>20</v>
      </c>
      <c r="B24" s="21" t="s">
        <v>52</v>
      </c>
      <c r="C24" s="21">
        <v>0</v>
      </c>
      <c r="D24" s="22">
        <v>0</v>
      </c>
      <c r="E24" s="21">
        <v>0</v>
      </c>
      <c r="F24" s="22">
        <v>0</v>
      </c>
      <c r="G24" s="21">
        <v>0</v>
      </c>
      <c r="H24" s="22">
        <v>0</v>
      </c>
      <c r="I24" s="21">
        <v>0</v>
      </c>
      <c r="J24" s="22">
        <v>0</v>
      </c>
    </row>
    <row r="25" spans="1:10" ht="15">
      <c r="A25" s="20">
        <v>21</v>
      </c>
      <c r="B25" s="21" t="s">
        <v>111</v>
      </c>
      <c r="C25" s="21">
        <v>0</v>
      </c>
      <c r="D25" s="22">
        <v>0</v>
      </c>
      <c r="E25" s="21">
        <v>0</v>
      </c>
      <c r="F25" s="22">
        <v>0</v>
      </c>
      <c r="G25" s="21">
        <v>0</v>
      </c>
      <c r="H25" s="22">
        <v>0</v>
      </c>
      <c r="I25" s="21">
        <v>0</v>
      </c>
      <c r="J25" s="22">
        <v>0</v>
      </c>
    </row>
    <row r="26" spans="1:10" ht="15">
      <c r="A26" s="20">
        <v>22</v>
      </c>
      <c r="B26" s="21" t="s">
        <v>70</v>
      </c>
      <c r="C26" s="21">
        <v>0</v>
      </c>
      <c r="D26" s="22">
        <v>0</v>
      </c>
      <c r="E26" s="21">
        <v>0</v>
      </c>
      <c r="F26" s="22">
        <v>0</v>
      </c>
      <c r="G26" s="21">
        <v>0</v>
      </c>
      <c r="H26" s="22">
        <v>0</v>
      </c>
      <c r="I26" s="21">
        <v>0</v>
      </c>
      <c r="J26" s="22">
        <v>0</v>
      </c>
    </row>
    <row r="27" spans="1:10" ht="15">
      <c r="A27" s="20">
        <v>23</v>
      </c>
      <c r="B27" s="21" t="s">
        <v>71</v>
      </c>
      <c r="C27" s="21">
        <v>0</v>
      </c>
      <c r="D27" s="22">
        <v>0</v>
      </c>
      <c r="E27" s="21">
        <v>0</v>
      </c>
      <c r="F27" s="22">
        <v>0</v>
      </c>
      <c r="G27" s="21">
        <v>0</v>
      </c>
      <c r="H27" s="22">
        <v>0</v>
      </c>
      <c r="I27" s="21">
        <v>0</v>
      </c>
      <c r="J27" s="22">
        <v>0</v>
      </c>
    </row>
    <row r="28" spans="1:10" ht="15">
      <c r="A28" s="20">
        <v>24</v>
      </c>
      <c r="B28" s="21" t="s">
        <v>86</v>
      </c>
      <c r="C28" s="21">
        <v>0</v>
      </c>
      <c r="D28" s="22">
        <v>0</v>
      </c>
      <c r="E28" s="21">
        <v>0</v>
      </c>
      <c r="F28" s="22">
        <v>0</v>
      </c>
      <c r="G28" s="21">
        <v>0</v>
      </c>
      <c r="H28" s="22">
        <v>0</v>
      </c>
      <c r="I28" s="21">
        <v>0</v>
      </c>
      <c r="J28" s="22">
        <v>0</v>
      </c>
    </row>
    <row r="29" spans="1:10" ht="15">
      <c r="A29" s="20">
        <v>25</v>
      </c>
      <c r="B29" s="21" t="s">
        <v>87</v>
      </c>
      <c r="C29" s="21">
        <v>0</v>
      </c>
      <c r="D29" s="22">
        <v>0</v>
      </c>
      <c r="E29" s="21">
        <v>0</v>
      </c>
      <c r="F29" s="22">
        <v>0</v>
      </c>
      <c r="G29" s="21">
        <v>0</v>
      </c>
      <c r="H29" s="22">
        <v>0</v>
      </c>
      <c r="I29" s="21">
        <v>0</v>
      </c>
      <c r="J29" s="22">
        <v>0</v>
      </c>
    </row>
    <row r="30" spans="1:10" ht="15">
      <c r="A30" s="20">
        <v>26</v>
      </c>
      <c r="B30" s="21" t="s">
        <v>88</v>
      </c>
      <c r="C30" s="21">
        <v>0</v>
      </c>
      <c r="D30" s="22">
        <v>0</v>
      </c>
      <c r="E30" s="21">
        <v>0</v>
      </c>
      <c r="F30" s="22">
        <v>0</v>
      </c>
      <c r="G30" s="21">
        <v>0</v>
      </c>
      <c r="H30" s="22">
        <v>0</v>
      </c>
      <c r="I30" s="21">
        <v>0</v>
      </c>
      <c r="J30" s="22">
        <v>0</v>
      </c>
    </row>
    <row r="31" spans="1:10" ht="15">
      <c r="A31" s="20">
        <v>27</v>
      </c>
      <c r="B31" s="21" t="s">
        <v>89</v>
      </c>
      <c r="C31" s="21">
        <v>0</v>
      </c>
      <c r="D31" s="22">
        <v>0</v>
      </c>
      <c r="E31" s="21">
        <v>0</v>
      </c>
      <c r="F31" s="22">
        <v>0</v>
      </c>
      <c r="G31" s="21">
        <v>0</v>
      </c>
      <c r="H31" s="22">
        <v>0</v>
      </c>
      <c r="I31" s="21">
        <v>0</v>
      </c>
      <c r="J31" s="22">
        <v>0</v>
      </c>
    </row>
    <row r="32" spans="1:10" ht="15">
      <c r="A32" s="20">
        <v>28</v>
      </c>
      <c r="B32" s="21" t="s">
        <v>72</v>
      </c>
      <c r="C32" s="21">
        <v>0</v>
      </c>
      <c r="D32" s="22">
        <v>0</v>
      </c>
      <c r="E32" s="21">
        <v>0</v>
      </c>
      <c r="F32" s="22">
        <v>0</v>
      </c>
      <c r="G32" s="21">
        <v>411</v>
      </c>
      <c r="H32" s="22">
        <v>4.88</v>
      </c>
      <c r="I32" s="21">
        <v>0</v>
      </c>
      <c r="J32" s="22">
        <v>0</v>
      </c>
    </row>
    <row r="33" spans="1:10" ht="15">
      <c r="A33" s="20">
        <v>29</v>
      </c>
      <c r="B33" s="21" t="s">
        <v>49</v>
      </c>
      <c r="C33" s="21">
        <v>0</v>
      </c>
      <c r="D33" s="22">
        <v>0</v>
      </c>
      <c r="E33" s="21">
        <v>0</v>
      </c>
      <c r="F33" s="22">
        <v>0</v>
      </c>
      <c r="G33" s="21">
        <v>0</v>
      </c>
      <c r="H33" s="22">
        <v>0</v>
      </c>
      <c r="I33" s="21">
        <v>0</v>
      </c>
      <c r="J33" s="22">
        <v>0</v>
      </c>
    </row>
    <row r="34" spans="1:10" ht="15">
      <c r="A34" s="20">
        <v>30</v>
      </c>
      <c r="B34" s="21" t="s">
        <v>73</v>
      </c>
      <c r="C34" s="21">
        <v>9763</v>
      </c>
      <c r="D34" s="22">
        <v>30.76</v>
      </c>
      <c r="E34" s="21">
        <v>3425</v>
      </c>
      <c r="F34" s="22">
        <v>111.15</v>
      </c>
      <c r="G34" s="21">
        <v>1030</v>
      </c>
      <c r="H34" s="22">
        <v>3.49</v>
      </c>
      <c r="I34" s="21">
        <v>696</v>
      </c>
      <c r="J34" s="22">
        <v>34.73</v>
      </c>
    </row>
    <row r="35" spans="1:10" ht="15">
      <c r="A35" s="20">
        <v>31</v>
      </c>
      <c r="B35" s="21" t="s">
        <v>74</v>
      </c>
      <c r="C35" s="21">
        <v>0</v>
      </c>
      <c r="D35" s="22">
        <v>0</v>
      </c>
      <c r="E35" s="21">
        <v>0</v>
      </c>
      <c r="F35" s="22">
        <v>0</v>
      </c>
      <c r="G35" s="21">
        <v>0</v>
      </c>
      <c r="H35" s="22">
        <v>0</v>
      </c>
      <c r="I35" s="21">
        <v>0</v>
      </c>
      <c r="J35" s="22">
        <v>0</v>
      </c>
    </row>
    <row r="36" spans="1:10" ht="15">
      <c r="A36" s="20">
        <v>32</v>
      </c>
      <c r="B36" s="21" t="s">
        <v>90</v>
      </c>
      <c r="C36" s="21">
        <v>0</v>
      </c>
      <c r="D36" s="22">
        <v>0</v>
      </c>
      <c r="E36" s="21">
        <v>0</v>
      </c>
      <c r="F36" s="22">
        <v>0</v>
      </c>
      <c r="G36" s="21">
        <v>0</v>
      </c>
      <c r="H36" s="22">
        <v>0</v>
      </c>
      <c r="I36" s="21">
        <v>0</v>
      </c>
      <c r="J36" s="22">
        <v>0</v>
      </c>
    </row>
    <row r="37" spans="1:10" ht="15">
      <c r="A37" s="20">
        <v>33</v>
      </c>
      <c r="B37" s="21" t="s">
        <v>53</v>
      </c>
      <c r="C37" s="21">
        <v>0</v>
      </c>
      <c r="D37" s="22">
        <v>0</v>
      </c>
      <c r="E37" s="21">
        <v>0</v>
      </c>
      <c r="F37" s="22">
        <v>0</v>
      </c>
      <c r="G37" s="21">
        <v>0</v>
      </c>
      <c r="H37" s="22">
        <v>0</v>
      </c>
      <c r="I37" s="21">
        <v>0</v>
      </c>
      <c r="J37" s="22">
        <v>0</v>
      </c>
    </row>
    <row r="38" spans="1:10" ht="15">
      <c r="A38" s="20">
        <v>34</v>
      </c>
      <c r="B38" s="21" t="s">
        <v>91</v>
      </c>
      <c r="C38" s="21">
        <v>0</v>
      </c>
      <c r="D38" s="22">
        <v>0</v>
      </c>
      <c r="E38" s="21">
        <v>0</v>
      </c>
      <c r="F38" s="22">
        <v>0</v>
      </c>
      <c r="G38" s="21">
        <v>0</v>
      </c>
      <c r="H38" s="22">
        <v>0</v>
      </c>
      <c r="I38" s="21">
        <v>0</v>
      </c>
      <c r="J38" s="22">
        <v>0</v>
      </c>
    </row>
    <row r="39" spans="1:10" ht="15">
      <c r="A39" s="20">
        <v>35</v>
      </c>
      <c r="B39" s="21" t="s">
        <v>92</v>
      </c>
      <c r="C39" s="21">
        <v>0</v>
      </c>
      <c r="D39" s="22">
        <v>0</v>
      </c>
      <c r="E39" s="21">
        <v>0</v>
      </c>
      <c r="F39" s="22">
        <v>0</v>
      </c>
      <c r="G39" s="21">
        <v>0</v>
      </c>
      <c r="H39" s="22">
        <v>0</v>
      </c>
      <c r="I39" s="21">
        <v>0</v>
      </c>
      <c r="J39" s="22">
        <v>0</v>
      </c>
    </row>
    <row r="40" spans="1:10" ht="15">
      <c r="A40" s="20">
        <v>36</v>
      </c>
      <c r="B40" s="21" t="s">
        <v>75</v>
      </c>
      <c r="C40" s="21">
        <v>0</v>
      </c>
      <c r="D40" s="22">
        <v>0</v>
      </c>
      <c r="E40" s="21">
        <v>0</v>
      </c>
      <c r="F40" s="22">
        <v>0</v>
      </c>
      <c r="G40" s="21">
        <v>0</v>
      </c>
      <c r="H40" s="22">
        <v>0</v>
      </c>
      <c r="I40" s="21">
        <v>0</v>
      </c>
      <c r="J40" s="22">
        <v>0</v>
      </c>
    </row>
    <row r="41" spans="1:10" ht="15">
      <c r="A41" s="20">
        <v>37</v>
      </c>
      <c r="B41" s="21" t="s">
        <v>93</v>
      </c>
      <c r="C41" s="21">
        <v>0</v>
      </c>
      <c r="D41" s="22">
        <v>0</v>
      </c>
      <c r="E41" s="21">
        <v>0</v>
      </c>
      <c r="F41" s="22">
        <v>0</v>
      </c>
      <c r="G41" s="21">
        <v>0</v>
      </c>
      <c r="H41" s="22">
        <v>0</v>
      </c>
      <c r="I41" s="21">
        <v>0</v>
      </c>
      <c r="J41" s="22">
        <v>0</v>
      </c>
    </row>
    <row r="42" spans="1:10" ht="15">
      <c r="A42" s="20">
        <v>38</v>
      </c>
      <c r="B42" s="21" t="s">
        <v>76</v>
      </c>
      <c r="C42" s="21">
        <v>0</v>
      </c>
      <c r="D42" s="22">
        <v>0</v>
      </c>
      <c r="E42" s="21">
        <v>0</v>
      </c>
      <c r="F42" s="22">
        <v>0</v>
      </c>
      <c r="G42" s="21">
        <v>0</v>
      </c>
      <c r="H42" s="22">
        <v>0</v>
      </c>
      <c r="I42" s="21">
        <v>0</v>
      </c>
      <c r="J42" s="22">
        <v>0</v>
      </c>
    </row>
    <row r="43" spans="1:10" ht="15">
      <c r="A43" s="20">
        <v>39</v>
      </c>
      <c r="B43" s="21" t="s">
        <v>94</v>
      </c>
      <c r="C43" s="21">
        <v>0</v>
      </c>
      <c r="D43" s="22">
        <v>0</v>
      </c>
      <c r="E43" s="21">
        <v>0</v>
      </c>
      <c r="F43" s="22">
        <v>0</v>
      </c>
      <c r="G43" s="21">
        <v>0</v>
      </c>
      <c r="H43" s="22">
        <v>0</v>
      </c>
      <c r="I43" s="21">
        <v>0</v>
      </c>
      <c r="J43" s="22">
        <v>0</v>
      </c>
    </row>
    <row r="44" spans="1:10" ht="15">
      <c r="A44" s="20">
        <v>40</v>
      </c>
      <c r="B44" s="21" t="s">
        <v>95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2">
        <v>0</v>
      </c>
      <c r="I44" s="21">
        <v>0</v>
      </c>
      <c r="J44" s="22">
        <v>0</v>
      </c>
    </row>
    <row r="45" spans="1:10" ht="15">
      <c r="A45" s="20">
        <v>41</v>
      </c>
      <c r="B45" s="21" t="s">
        <v>77</v>
      </c>
      <c r="C45" s="21">
        <v>0</v>
      </c>
      <c r="D45" s="22">
        <v>0</v>
      </c>
      <c r="E45" s="21">
        <v>0</v>
      </c>
      <c r="F45" s="22">
        <v>0</v>
      </c>
      <c r="G45" s="21">
        <v>0</v>
      </c>
      <c r="H45" s="22">
        <v>0</v>
      </c>
      <c r="I45" s="21">
        <v>0</v>
      </c>
      <c r="J45" s="22">
        <v>0</v>
      </c>
    </row>
    <row r="46" spans="1:10" ht="15">
      <c r="A46" s="20">
        <v>42</v>
      </c>
      <c r="B46" s="21" t="s">
        <v>78</v>
      </c>
      <c r="C46" s="21">
        <v>0</v>
      </c>
      <c r="D46" s="22">
        <v>0</v>
      </c>
      <c r="E46" s="21">
        <v>0</v>
      </c>
      <c r="F46" s="22">
        <v>0</v>
      </c>
      <c r="G46" s="21">
        <v>0</v>
      </c>
      <c r="H46" s="22">
        <v>0</v>
      </c>
      <c r="I46" s="21">
        <v>0</v>
      </c>
      <c r="J46" s="22">
        <v>0</v>
      </c>
    </row>
    <row r="47" spans="1:10" ht="15">
      <c r="A47" s="20">
        <v>43</v>
      </c>
      <c r="B47" s="21" t="s">
        <v>96</v>
      </c>
      <c r="C47" s="21">
        <v>0</v>
      </c>
      <c r="D47" s="22">
        <v>0</v>
      </c>
      <c r="E47" s="21">
        <v>0</v>
      </c>
      <c r="F47" s="22">
        <v>0</v>
      </c>
      <c r="G47" s="21">
        <v>0</v>
      </c>
      <c r="H47" s="22">
        <v>0</v>
      </c>
      <c r="I47" s="21">
        <v>0</v>
      </c>
      <c r="J47" s="22">
        <v>0</v>
      </c>
    </row>
    <row r="48" spans="1:10" ht="15">
      <c r="A48" s="20">
        <v>44</v>
      </c>
      <c r="B48" s="21" t="s">
        <v>79</v>
      </c>
      <c r="C48" s="21">
        <v>0</v>
      </c>
      <c r="D48" s="22">
        <v>0</v>
      </c>
      <c r="E48" s="21">
        <v>0</v>
      </c>
      <c r="F48" s="22">
        <v>0</v>
      </c>
      <c r="G48" s="21">
        <v>0</v>
      </c>
      <c r="H48" s="22">
        <v>0</v>
      </c>
      <c r="I48" s="21">
        <v>0</v>
      </c>
      <c r="J48" s="22">
        <v>0</v>
      </c>
    </row>
    <row r="49" spans="1:10" ht="15">
      <c r="A49" s="20">
        <v>45</v>
      </c>
      <c r="B49" s="21" t="s">
        <v>80</v>
      </c>
      <c r="C49" s="21">
        <v>0</v>
      </c>
      <c r="D49" s="22">
        <v>0</v>
      </c>
      <c r="E49" s="21">
        <v>0</v>
      </c>
      <c r="F49" s="22">
        <v>0</v>
      </c>
      <c r="G49" s="21">
        <v>0</v>
      </c>
      <c r="H49" s="22">
        <v>0</v>
      </c>
      <c r="I49" s="21">
        <v>0</v>
      </c>
      <c r="J49" s="22">
        <v>0</v>
      </c>
    </row>
    <row r="50" spans="1:10" ht="15">
      <c r="A50" s="20">
        <v>46</v>
      </c>
      <c r="B50" s="21" t="s">
        <v>97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2">
        <v>0</v>
      </c>
      <c r="I50" s="21">
        <v>0</v>
      </c>
      <c r="J50" s="22">
        <v>0</v>
      </c>
    </row>
    <row r="51" spans="1:10" ht="15">
      <c r="A51" s="20">
        <v>47</v>
      </c>
      <c r="B51" s="21" t="s">
        <v>98</v>
      </c>
      <c r="C51" s="21">
        <v>0</v>
      </c>
      <c r="D51" s="22">
        <v>0</v>
      </c>
      <c r="E51" s="21">
        <v>0</v>
      </c>
      <c r="F51" s="22">
        <v>0</v>
      </c>
      <c r="G51" s="21">
        <v>0</v>
      </c>
      <c r="H51" s="22">
        <v>0</v>
      </c>
      <c r="I51" s="21">
        <v>0</v>
      </c>
      <c r="J51" s="22">
        <v>0</v>
      </c>
    </row>
    <row r="52" spans="1:10" ht="15">
      <c r="A52" s="20">
        <v>48</v>
      </c>
      <c r="B52" s="1" t="s">
        <v>54</v>
      </c>
      <c r="C52" s="21">
        <v>0</v>
      </c>
      <c r="D52" s="22">
        <v>0</v>
      </c>
      <c r="E52" s="21">
        <v>0</v>
      </c>
      <c r="F52" s="22">
        <v>0</v>
      </c>
      <c r="G52" s="21">
        <v>0</v>
      </c>
      <c r="H52" s="22">
        <v>0</v>
      </c>
      <c r="I52" s="21">
        <v>0</v>
      </c>
      <c r="J52" s="22">
        <v>0</v>
      </c>
    </row>
    <row r="53" spans="1:10" ht="15">
      <c r="A53" s="20">
        <v>49</v>
      </c>
      <c r="B53" s="21" t="s">
        <v>48</v>
      </c>
      <c r="C53" s="21">
        <v>974</v>
      </c>
      <c r="D53" s="22">
        <v>8.01</v>
      </c>
      <c r="E53" s="21">
        <v>974</v>
      </c>
      <c r="F53" s="22">
        <v>8.01</v>
      </c>
      <c r="G53" s="21">
        <v>6</v>
      </c>
      <c r="H53" s="22">
        <v>0.2</v>
      </c>
      <c r="I53" s="21">
        <v>6</v>
      </c>
      <c r="J53" s="22">
        <v>0.2</v>
      </c>
    </row>
    <row r="54" spans="1:10" ht="15">
      <c r="A54" s="20">
        <v>50</v>
      </c>
      <c r="B54" s="21" t="s">
        <v>81</v>
      </c>
      <c r="C54" s="21">
        <v>11242</v>
      </c>
      <c r="D54" s="22">
        <v>31.11</v>
      </c>
      <c r="E54" s="21">
        <v>0</v>
      </c>
      <c r="F54" s="22">
        <v>0</v>
      </c>
      <c r="G54" s="21">
        <v>0</v>
      </c>
      <c r="H54" s="22">
        <v>0</v>
      </c>
      <c r="I54" s="21">
        <v>0</v>
      </c>
      <c r="J54" s="22">
        <v>0</v>
      </c>
    </row>
    <row r="55" spans="1:10" ht="15">
      <c r="A55" s="20"/>
      <c r="B55" s="11" t="s">
        <v>112</v>
      </c>
      <c r="C55" s="11">
        <f aca="true" t="shared" si="0" ref="C55:J55">SUM(C5:C54)</f>
        <v>65032</v>
      </c>
      <c r="D55" s="10">
        <f t="shared" si="0"/>
        <v>828.5300000000001</v>
      </c>
      <c r="E55" s="11">
        <f t="shared" si="0"/>
        <v>20924</v>
      </c>
      <c r="F55" s="10">
        <f t="shared" si="0"/>
        <v>373.49</v>
      </c>
      <c r="G55" s="11">
        <f t="shared" si="0"/>
        <v>26717</v>
      </c>
      <c r="H55" s="10">
        <f t="shared" si="0"/>
        <v>488.35</v>
      </c>
      <c r="I55" s="11">
        <f t="shared" si="0"/>
        <v>12572</v>
      </c>
      <c r="J55" s="10">
        <f t="shared" si="0"/>
        <v>302.66</v>
      </c>
    </row>
    <row r="57" ht="15">
      <c r="B57" s="25"/>
    </row>
  </sheetData>
  <sheetProtection/>
  <mergeCells count="7">
    <mergeCell ref="A1:J1"/>
    <mergeCell ref="C2:F2"/>
    <mergeCell ref="G2:I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P59"/>
  <sheetViews>
    <sheetView view="pageBreakPreview" zoomScale="60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4" sqref="R34"/>
    </sheetView>
  </sheetViews>
  <sheetFormatPr defaultColWidth="9.140625" defaultRowHeight="12.75"/>
  <cols>
    <col min="1" max="1" width="5.57421875" style="324" customWidth="1"/>
    <col min="2" max="2" width="24.140625" style="324" customWidth="1"/>
    <col min="3" max="3" width="9.28125" style="336" bestFit="1" customWidth="1"/>
    <col min="4" max="4" width="11.421875" style="336" bestFit="1" customWidth="1"/>
    <col min="5" max="5" width="9.28125" style="336" bestFit="1" customWidth="1"/>
    <col min="6" max="6" width="11.421875" style="336" bestFit="1" customWidth="1"/>
    <col min="7" max="7" width="9.28125" style="336" bestFit="1" customWidth="1"/>
    <col min="8" max="8" width="10.421875" style="336" bestFit="1" customWidth="1"/>
    <col min="9" max="9" width="9.28125" style="336" bestFit="1" customWidth="1"/>
    <col min="10" max="10" width="11.421875" style="336" bestFit="1" customWidth="1"/>
    <col min="11" max="11" width="9.28125" style="336" bestFit="1" customWidth="1"/>
    <col min="12" max="12" width="9.421875" style="336" bestFit="1" customWidth="1"/>
    <col min="13" max="15" width="9.28125" style="336" bestFit="1" customWidth="1"/>
    <col min="16" max="16" width="11.421875" style="336" bestFit="1" customWidth="1"/>
    <col min="17" max="16384" width="9.140625" style="324" customWidth="1"/>
  </cols>
  <sheetData>
    <row r="1" spans="1:16" ht="15.75" customHeight="1">
      <c r="A1" s="625" t="s">
        <v>214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</row>
    <row r="2" spans="1:6" ht="14.25">
      <c r="A2" s="58" t="s">
        <v>119</v>
      </c>
      <c r="B2" s="58"/>
      <c r="C2" s="297"/>
      <c r="D2" s="297"/>
      <c r="E2" s="297"/>
      <c r="F2" s="297"/>
    </row>
    <row r="3" spans="1:14" ht="15" customHeight="1">
      <c r="A3" s="38"/>
      <c r="B3" s="658" t="s">
        <v>12</v>
      </c>
      <c r="C3" s="658"/>
      <c r="D3" s="658"/>
      <c r="M3" s="659" t="s">
        <v>213</v>
      </c>
      <c r="N3" s="659"/>
    </row>
    <row r="4" spans="1:16" ht="13.5">
      <c r="A4" s="634" t="s">
        <v>272</v>
      </c>
      <c r="B4" s="634" t="s">
        <v>3</v>
      </c>
      <c r="C4" s="618" t="s">
        <v>27</v>
      </c>
      <c r="D4" s="618"/>
      <c r="E4" s="618" t="s">
        <v>211</v>
      </c>
      <c r="F4" s="618"/>
      <c r="G4" s="618" t="s">
        <v>28</v>
      </c>
      <c r="H4" s="618"/>
      <c r="I4" s="618" t="s">
        <v>26</v>
      </c>
      <c r="J4" s="618"/>
      <c r="K4" s="618" t="s">
        <v>212</v>
      </c>
      <c r="L4" s="618"/>
      <c r="M4" s="618" t="s">
        <v>29</v>
      </c>
      <c r="N4" s="618"/>
      <c r="O4" s="618" t="s">
        <v>0</v>
      </c>
      <c r="P4" s="618"/>
    </row>
    <row r="5" spans="1:16" ht="13.5">
      <c r="A5" s="634"/>
      <c r="B5" s="634"/>
      <c r="C5" s="290" t="s">
        <v>30</v>
      </c>
      <c r="D5" s="290" t="s">
        <v>17</v>
      </c>
      <c r="E5" s="290" t="s">
        <v>30</v>
      </c>
      <c r="F5" s="290" t="s">
        <v>17</v>
      </c>
      <c r="G5" s="290" t="s">
        <v>30</v>
      </c>
      <c r="H5" s="290" t="s">
        <v>17</v>
      </c>
      <c r="I5" s="290" t="s">
        <v>30</v>
      </c>
      <c r="J5" s="290" t="s">
        <v>17</v>
      </c>
      <c r="K5" s="290" t="s">
        <v>30</v>
      </c>
      <c r="L5" s="290" t="s">
        <v>17</v>
      </c>
      <c r="M5" s="290" t="s">
        <v>30</v>
      </c>
      <c r="N5" s="290" t="s">
        <v>17</v>
      </c>
      <c r="O5" s="290" t="s">
        <v>30</v>
      </c>
      <c r="P5" s="290" t="s">
        <v>17</v>
      </c>
    </row>
    <row r="6" spans="1:16" ht="13.5" customHeight="1">
      <c r="A6" s="179">
        <v>1</v>
      </c>
      <c r="B6" s="180" t="s">
        <v>57</v>
      </c>
      <c r="C6" s="277">
        <v>5906</v>
      </c>
      <c r="D6" s="277">
        <v>10678.85</v>
      </c>
      <c r="E6" s="277">
        <v>11898</v>
      </c>
      <c r="F6" s="277">
        <v>57895.65</v>
      </c>
      <c r="G6" s="247">
        <v>80</v>
      </c>
      <c r="H6" s="247">
        <v>154</v>
      </c>
      <c r="I6" s="247">
        <v>2305</v>
      </c>
      <c r="J6" s="247">
        <v>7258.68</v>
      </c>
      <c r="K6" s="247">
        <v>44</v>
      </c>
      <c r="L6" s="247">
        <v>109.5</v>
      </c>
      <c r="M6" s="247">
        <v>3902</v>
      </c>
      <c r="N6" s="247">
        <v>6658.6</v>
      </c>
      <c r="O6" s="247">
        <f>C6+E6+G6+I6+K6+M6</f>
        <v>24135</v>
      </c>
      <c r="P6" s="247">
        <f>D6+F6+H6+J6+L6+N6</f>
        <v>82755.28</v>
      </c>
    </row>
    <row r="7" spans="1:16" ht="13.5">
      <c r="A7" s="179">
        <v>2</v>
      </c>
      <c r="B7" s="180" t="s">
        <v>58</v>
      </c>
      <c r="C7" s="247">
        <v>31</v>
      </c>
      <c r="D7" s="247">
        <v>109</v>
      </c>
      <c r="E7" s="247">
        <v>396</v>
      </c>
      <c r="F7" s="247">
        <v>837</v>
      </c>
      <c r="G7" s="247">
        <v>0</v>
      </c>
      <c r="H7" s="247">
        <v>0</v>
      </c>
      <c r="I7" s="247">
        <v>132</v>
      </c>
      <c r="J7" s="247">
        <v>604</v>
      </c>
      <c r="K7" s="247">
        <v>0</v>
      </c>
      <c r="L7" s="247">
        <v>0</v>
      </c>
      <c r="M7" s="247">
        <v>51</v>
      </c>
      <c r="N7" s="247">
        <v>202</v>
      </c>
      <c r="O7" s="247">
        <f aca="true" t="shared" si="0" ref="O7:O57">C7+E7+G7+I7+K7+M7</f>
        <v>610</v>
      </c>
      <c r="P7" s="247">
        <f aca="true" t="shared" si="1" ref="P7:P57">D7+F7+H7+J7+L7+N7</f>
        <v>1752</v>
      </c>
    </row>
    <row r="8" spans="1:16" ht="13.5">
      <c r="A8" s="179">
        <v>3</v>
      </c>
      <c r="B8" s="180" t="s">
        <v>59</v>
      </c>
      <c r="C8" s="247">
        <v>372</v>
      </c>
      <c r="D8" s="247">
        <v>1378</v>
      </c>
      <c r="E8" s="247">
        <v>3754</v>
      </c>
      <c r="F8" s="247">
        <v>15463</v>
      </c>
      <c r="G8" s="247">
        <v>53</v>
      </c>
      <c r="H8" s="247">
        <v>131</v>
      </c>
      <c r="I8" s="247">
        <v>622</v>
      </c>
      <c r="J8" s="247">
        <v>27186</v>
      </c>
      <c r="K8" s="247">
        <v>2</v>
      </c>
      <c r="L8" s="247">
        <v>10</v>
      </c>
      <c r="M8" s="247">
        <v>2154</v>
      </c>
      <c r="N8" s="247">
        <v>52313</v>
      </c>
      <c r="O8" s="247">
        <f t="shared" si="0"/>
        <v>6957</v>
      </c>
      <c r="P8" s="247">
        <f t="shared" si="1"/>
        <v>96481</v>
      </c>
    </row>
    <row r="9" spans="1:16" ht="13.5">
      <c r="A9" s="179">
        <v>4</v>
      </c>
      <c r="B9" s="180" t="s">
        <v>60</v>
      </c>
      <c r="C9" s="247">
        <v>260</v>
      </c>
      <c r="D9" s="247">
        <v>1135.0960169</v>
      </c>
      <c r="E9" s="247">
        <v>15400</v>
      </c>
      <c r="F9" s="247">
        <v>33042.8722067</v>
      </c>
      <c r="G9" s="247">
        <v>18</v>
      </c>
      <c r="H9" s="247">
        <v>43.3067708</v>
      </c>
      <c r="I9" s="247">
        <v>607</v>
      </c>
      <c r="J9" s="247">
        <v>6029.083617600001</v>
      </c>
      <c r="K9" s="247">
        <v>1</v>
      </c>
      <c r="L9" s="247">
        <v>3.0387063</v>
      </c>
      <c r="M9" s="247">
        <v>0</v>
      </c>
      <c r="N9" s="247">
        <v>0</v>
      </c>
      <c r="O9" s="247">
        <f t="shared" si="0"/>
        <v>16286</v>
      </c>
      <c r="P9" s="247">
        <f t="shared" si="1"/>
        <v>40253.397318300005</v>
      </c>
    </row>
    <row r="10" spans="1:16" ht="13.5">
      <c r="A10" s="179">
        <v>5</v>
      </c>
      <c r="B10" s="180" t="s">
        <v>61</v>
      </c>
      <c r="C10" s="247">
        <v>292</v>
      </c>
      <c r="D10" s="247">
        <v>613.91</v>
      </c>
      <c r="E10" s="247">
        <v>3481</v>
      </c>
      <c r="F10" s="247">
        <v>7692</v>
      </c>
      <c r="G10" s="247">
        <v>181</v>
      </c>
      <c r="H10" s="247">
        <v>165</v>
      </c>
      <c r="I10" s="247">
        <v>4022</v>
      </c>
      <c r="J10" s="247">
        <v>7829</v>
      </c>
      <c r="K10" s="247">
        <v>0</v>
      </c>
      <c r="L10" s="247">
        <v>0</v>
      </c>
      <c r="M10" s="247">
        <v>928</v>
      </c>
      <c r="N10" s="247">
        <v>5978.21</v>
      </c>
      <c r="O10" s="247">
        <f t="shared" si="0"/>
        <v>8904</v>
      </c>
      <c r="P10" s="247">
        <f t="shared" si="1"/>
        <v>22278.12</v>
      </c>
    </row>
    <row r="11" spans="1:16" ht="14.25" customHeight="1">
      <c r="A11" s="179">
        <v>6</v>
      </c>
      <c r="B11" s="121" t="s">
        <v>289</v>
      </c>
      <c r="C11" s="247">
        <v>0</v>
      </c>
      <c r="D11" s="247">
        <v>0</v>
      </c>
      <c r="E11" s="247">
        <v>32</v>
      </c>
      <c r="F11" s="247">
        <v>18.44</v>
      </c>
      <c r="G11" s="247">
        <v>0</v>
      </c>
      <c r="H11" s="247">
        <v>0</v>
      </c>
      <c r="I11" s="247">
        <v>3</v>
      </c>
      <c r="J11" s="247">
        <v>5.5</v>
      </c>
      <c r="K11" s="247">
        <v>0</v>
      </c>
      <c r="L11" s="247">
        <v>0</v>
      </c>
      <c r="M11" s="247">
        <v>9</v>
      </c>
      <c r="N11" s="247">
        <v>28.39</v>
      </c>
      <c r="O11" s="247">
        <f t="shared" si="0"/>
        <v>44</v>
      </c>
      <c r="P11" s="247">
        <f t="shared" si="1"/>
        <v>52.33</v>
      </c>
    </row>
    <row r="12" spans="1:16" ht="13.5">
      <c r="A12" s="179">
        <v>7</v>
      </c>
      <c r="B12" s="180" t="s">
        <v>62</v>
      </c>
      <c r="C12" s="247">
        <v>1920</v>
      </c>
      <c r="D12" s="247">
        <v>6228</v>
      </c>
      <c r="E12" s="247">
        <v>1906</v>
      </c>
      <c r="F12" s="247">
        <v>5848</v>
      </c>
      <c r="G12" s="247">
        <v>189</v>
      </c>
      <c r="H12" s="247">
        <v>1124</v>
      </c>
      <c r="I12" s="247">
        <v>1184</v>
      </c>
      <c r="J12" s="247">
        <v>3797</v>
      </c>
      <c r="K12" s="247">
        <v>762</v>
      </c>
      <c r="L12" s="247">
        <v>1501</v>
      </c>
      <c r="M12" s="247">
        <v>2192</v>
      </c>
      <c r="N12" s="247">
        <v>6223</v>
      </c>
      <c r="O12" s="247">
        <f t="shared" si="0"/>
        <v>8153</v>
      </c>
      <c r="P12" s="247">
        <f t="shared" si="1"/>
        <v>24721</v>
      </c>
    </row>
    <row r="13" spans="1:16" ht="13.5">
      <c r="A13" s="179">
        <v>8</v>
      </c>
      <c r="B13" s="180" t="s">
        <v>63</v>
      </c>
      <c r="C13" s="247">
        <v>1132</v>
      </c>
      <c r="D13" s="247">
        <v>683</v>
      </c>
      <c r="E13" s="247">
        <v>2037</v>
      </c>
      <c r="F13" s="247">
        <v>3891</v>
      </c>
      <c r="G13" s="247">
        <v>0</v>
      </c>
      <c r="H13" s="247">
        <v>0</v>
      </c>
      <c r="I13" s="247">
        <v>1274</v>
      </c>
      <c r="J13" s="247">
        <v>686</v>
      </c>
      <c r="K13" s="247">
        <v>3</v>
      </c>
      <c r="L13" s="247">
        <v>17</v>
      </c>
      <c r="M13" s="247">
        <v>3813</v>
      </c>
      <c r="N13" s="247">
        <v>1046</v>
      </c>
      <c r="O13" s="247">
        <f t="shared" si="0"/>
        <v>8259</v>
      </c>
      <c r="P13" s="247">
        <f t="shared" si="1"/>
        <v>6323</v>
      </c>
    </row>
    <row r="14" spans="1:16" ht="13.5">
      <c r="A14" s="179">
        <v>9</v>
      </c>
      <c r="B14" s="180" t="s">
        <v>50</v>
      </c>
      <c r="C14" s="247">
        <v>71</v>
      </c>
      <c r="D14" s="247">
        <v>155</v>
      </c>
      <c r="E14" s="247">
        <v>148</v>
      </c>
      <c r="F14" s="247">
        <v>420</v>
      </c>
      <c r="G14" s="247">
        <v>28</v>
      </c>
      <c r="H14" s="247">
        <v>30</v>
      </c>
      <c r="I14" s="247">
        <v>91</v>
      </c>
      <c r="J14" s="247">
        <v>41</v>
      </c>
      <c r="K14" s="247">
        <v>0</v>
      </c>
      <c r="L14" s="247">
        <v>0</v>
      </c>
      <c r="M14" s="247">
        <v>206</v>
      </c>
      <c r="N14" s="247">
        <v>997</v>
      </c>
      <c r="O14" s="247">
        <f t="shared" si="0"/>
        <v>544</v>
      </c>
      <c r="P14" s="247">
        <f t="shared" si="1"/>
        <v>1643</v>
      </c>
    </row>
    <row r="15" spans="1:16" ht="13.5">
      <c r="A15" s="179">
        <v>10</v>
      </c>
      <c r="B15" s="180" t="s">
        <v>51</v>
      </c>
      <c r="C15" s="247">
        <v>95</v>
      </c>
      <c r="D15" s="247">
        <v>303</v>
      </c>
      <c r="E15" s="247">
        <v>2086</v>
      </c>
      <c r="F15" s="247">
        <v>3833</v>
      </c>
      <c r="G15" s="247">
        <v>3</v>
      </c>
      <c r="H15" s="247">
        <v>3</v>
      </c>
      <c r="I15" s="247">
        <v>165</v>
      </c>
      <c r="J15" s="247">
        <v>839</v>
      </c>
      <c r="K15" s="247">
        <v>4</v>
      </c>
      <c r="L15" s="247">
        <v>5</v>
      </c>
      <c r="M15" s="247">
        <v>573</v>
      </c>
      <c r="N15" s="247">
        <v>2144</v>
      </c>
      <c r="O15" s="247">
        <f t="shared" si="0"/>
        <v>2926</v>
      </c>
      <c r="P15" s="247">
        <f t="shared" si="1"/>
        <v>7127</v>
      </c>
    </row>
    <row r="16" spans="1:16" ht="13.5">
      <c r="A16" s="179">
        <v>11</v>
      </c>
      <c r="B16" s="180" t="s">
        <v>290</v>
      </c>
      <c r="C16" s="247">
        <v>5</v>
      </c>
      <c r="D16" s="247">
        <v>82</v>
      </c>
      <c r="E16" s="247">
        <v>402</v>
      </c>
      <c r="F16" s="247">
        <v>716</v>
      </c>
      <c r="G16" s="247">
        <v>2</v>
      </c>
      <c r="H16" s="247">
        <v>2</v>
      </c>
      <c r="I16" s="247">
        <v>45</v>
      </c>
      <c r="J16" s="247">
        <v>88</v>
      </c>
      <c r="K16" s="247">
        <v>0</v>
      </c>
      <c r="L16" s="247">
        <v>0</v>
      </c>
      <c r="M16" s="247">
        <v>105</v>
      </c>
      <c r="N16" s="247">
        <v>292</v>
      </c>
      <c r="O16" s="247">
        <f t="shared" si="0"/>
        <v>559</v>
      </c>
      <c r="P16" s="247">
        <f t="shared" si="1"/>
        <v>1180</v>
      </c>
    </row>
    <row r="17" spans="1:16" ht="13.5">
      <c r="A17" s="179">
        <v>12</v>
      </c>
      <c r="B17" s="180" t="s">
        <v>64</v>
      </c>
      <c r="C17" s="247">
        <v>129</v>
      </c>
      <c r="D17" s="247">
        <v>104</v>
      </c>
      <c r="E17" s="247">
        <v>529</v>
      </c>
      <c r="F17" s="247">
        <v>398</v>
      </c>
      <c r="G17" s="247">
        <v>0</v>
      </c>
      <c r="H17" s="247">
        <v>0</v>
      </c>
      <c r="I17" s="247">
        <v>188</v>
      </c>
      <c r="J17" s="247">
        <v>210</v>
      </c>
      <c r="K17" s="247">
        <v>0</v>
      </c>
      <c r="L17" s="247">
        <v>0</v>
      </c>
      <c r="M17" s="247">
        <v>0</v>
      </c>
      <c r="N17" s="247">
        <v>0</v>
      </c>
      <c r="O17" s="247">
        <f t="shared" si="0"/>
        <v>846</v>
      </c>
      <c r="P17" s="247">
        <f t="shared" si="1"/>
        <v>712</v>
      </c>
    </row>
    <row r="18" spans="1:16" ht="13.5">
      <c r="A18" s="179">
        <v>13</v>
      </c>
      <c r="B18" s="180" t="s">
        <v>65</v>
      </c>
      <c r="C18" s="247">
        <v>38</v>
      </c>
      <c r="D18" s="247">
        <v>67.89</v>
      </c>
      <c r="E18" s="247">
        <v>471</v>
      </c>
      <c r="F18" s="247">
        <v>758.06</v>
      </c>
      <c r="G18" s="247">
        <v>1</v>
      </c>
      <c r="H18" s="247">
        <v>1.51</v>
      </c>
      <c r="I18" s="247">
        <v>58</v>
      </c>
      <c r="J18" s="247">
        <v>178.858</v>
      </c>
      <c r="K18" s="247">
        <v>0</v>
      </c>
      <c r="L18" s="247">
        <v>0</v>
      </c>
      <c r="M18" s="247">
        <v>13</v>
      </c>
      <c r="N18" s="247">
        <v>48.12</v>
      </c>
      <c r="O18" s="247">
        <f t="shared" si="0"/>
        <v>581</v>
      </c>
      <c r="P18" s="247">
        <f t="shared" si="1"/>
        <v>1054.4379999999999</v>
      </c>
    </row>
    <row r="19" spans="1:16" ht="13.5">
      <c r="A19" s="179">
        <v>14</v>
      </c>
      <c r="B19" s="122" t="s">
        <v>316</v>
      </c>
      <c r="C19" s="247">
        <v>1608</v>
      </c>
      <c r="D19" s="247">
        <v>3024.57</v>
      </c>
      <c r="E19" s="247">
        <v>12</v>
      </c>
      <c r="F19" s="247">
        <v>14.15</v>
      </c>
      <c r="G19" s="247">
        <v>282</v>
      </c>
      <c r="H19" s="247">
        <v>927.25</v>
      </c>
      <c r="I19" s="247">
        <v>0</v>
      </c>
      <c r="J19" s="247">
        <v>0</v>
      </c>
      <c r="K19" s="247">
        <v>89</v>
      </c>
      <c r="L19" s="247">
        <v>746.55</v>
      </c>
      <c r="M19" s="247">
        <v>2100</v>
      </c>
      <c r="N19" s="247">
        <v>4842.740000000001</v>
      </c>
      <c r="O19" s="247">
        <f t="shared" si="0"/>
        <v>4091</v>
      </c>
      <c r="P19" s="247">
        <f t="shared" si="1"/>
        <v>9555.260000000002</v>
      </c>
    </row>
    <row r="20" spans="1:16" ht="13.5">
      <c r="A20" s="179">
        <v>15</v>
      </c>
      <c r="B20" s="180" t="s">
        <v>292</v>
      </c>
      <c r="C20" s="247">
        <v>62</v>
      </c>
      <c r="D20" s="247">
        <v>24</v>
      </c>
      <c r="E20" s="247">
        <v>845</v>
      </c>
      <c r="F20" s="247">
        <v>762</v>
      </c>
      <c r="G20" s="247">
        <v>4</v>
      </c>
      <c r="H20" s="247">
        <v>10</v>
      </c>
      <c r="I20" s="247">
        <v>2015</v>
      </c>
      <c r="J20" s="247">
        <v>8555</v>
      </c>
      <c r="K20" s="247">
        <v>0</v>
      </c>
      <c r="L20" s="247">
        <v>0</v>
      </c>
      <c r="M20" s="247">
        <v>35</v>
      </c>
      <c r="N20" s="247">
        <v>70</v>
      </c>
      <c r="O20" s="247">
        <f t="shared" si="0"/>
        <v>2961</v>
      </c>
      <c r="P20" s="247">
        <f t="shared" si="1"/>
        <v>9421</v>
      </c>
    </row>
    <row r="21" spans="1:16" ht="13.5">
      <c r="A21" s="179">
        <v>16</v>
      </c>
      <c r="B21" s="180" t="s">
        <v>66</v>
      </c>
      <c r="C21" s="247">
        <v>488</v>
      </c>
      <c r="D21" s="247">
        <v>1197</v>
      </c>
      <c r="E21" s="247">
        <v>6446</v>
      </c>
      <c r="F21" s="247">
        <v>16592</v>
      </c>
      <c r="G21" s="247">
        <v>34</v>
      </c>
      <c r="H21" s="247">
        <v>40</v>
      </c>
      <c r="I21" s="247">
        <v>881</v>
      </c>
      <c r="J21" s="247">
        <v>10115</v>
      </c>
      <c r="K21" s="247">
        <v>6</v>
      </c>
      <c r="L21" s="247">
        <v>4</v>
      </c>
      <c r="M21" s="247">
        <v>1592</v>
      </c>
      <c r="N21" s="247">
        <v>10331</v>
      </c>
      <c r="O21" s="247">
        <f t="shared" si="0"/>
        <v>9447</v>
      </c>
      <c r="P21" s="247">
        <f t="shared" si="1"/>
        <v>38279</v>
      </c>
    </row>
    <row r="22" spans="1:16" ht="13.5">
      <c r="A22" s="179">
        <v>17</v>
      </c>
      <c r="B22" s="122" t="s">
        <v>67</v>
      </c>
      <c r="C22" s="247">
        <v>107</v>
      </c>
      <c r="D22" s="247">
        <v>154</v>
      </c>
      <c r="E22" s="247">
        <v>2106</v>
      </c>
      <c r="F22" s="247">
        <v>4745</v>
      </c>
      <c r="G22" s="247">
        <v>21</v>
      </c>
      <c r="H22" s="247">
        <v>34</v>
      </c>
      <c r="I22" s="247">
        <v>111</v>
      </c>
      <c r="J22" s="247">
        <v>8898</v>
      </c>
      <c r="K22" s="247">
        <v>0</v>
      </c>
      <c r="L22" s="247">
        <v>0</v>
      </c>
      <c r="M22" s="247">
        <v>397</v>
      </c>
      <c r="N22" s="247">
        <v>3444</v>
      </c>
      <c r="O22" s="247">
        <f t="shared" si="0"/>
        <v>2742</v>
      </c>
      <c r="P22" s="247">
        <f t="shared" si="1"/>
        <v>17275</v>
      </c>
    </row>
    <row r="23" spans="1:16" ht="13.5">
      <c r="A23" s="179">
        <v>18</v>
      </c>
      <c r="B23" s="80" t="s">
        <v>253</v>
      </c>
      <c r="C23" s="247">
        <v>784</v>
      </c>
      <c r="D23" s="247">
        <v>784</v>
      </c>
      <c r="E23" s="247">
        <v>7620</v>
      </c>
      <c r="F23" s="247">
        <v>4850</v>
      </c>
      <c r="G23" s="247">
        <v>0</v>
      </c>
      <c r="H23" s="247">
        <v>0</v>
      </c>
      <c r="I23" s="247">
        <v>1570</v>
      </c>
      <c r="J23" s="247">
        <v>2125</v>
      </c>
      <c r="K23" s="247">
        <v>0</v>
      </c>
      <c r="L23" s="247">
        <v>0</v>
      </c>
      <c r="M23" s="247">
        <v>14891</v>
      </c>
      <c r="N23" s="247">
        <v>12043</v>
      </c>
      <c r="O23" s="247">
        <f t="shared" si="0"/>
        <v>24865</v>
      </c>
      <c r="P23" s="247">
        <f t="shared" si="1"/>
        <v>19802</v>
      </c>
    </row>
    <row r="24" spans="1:16" ht="15.75" customHeight="1">
      <c r="A24" s="179">
        <v>19</v>
      </c>
      <c r="B24" s="123" t="s">
        <v>68</v>
      </c>
      <c r="C24" s="247">
        <v>345</v>
      </c>
      <c r="D24" s="247">
        <v>1362.655</v>
      </c>
      <c r="E24" s="247">
        <v>7837</v>
      </c>
      <c r="F24" s="247">
        <v>12746.43</v>
      </c>
      <c r="G24" s="247">
        <v>77</v>
      </c>
      <c r="H24" s="247">
        <v>106.2439</v>
      </c>
      <c r="I24" s="247">
        <v>508</v>
      </c>
      <c r="J24" s="247">
        <v>5174.033</v>
      </c>
      <c r="K24" s="247">
        <v>1</v>
      </c>
      <c r="L24" s="247">
        <v>0.41901</v>
      </c>
      <c r="M24" s="247">
        <v>1802</v>
      </c>
      <c r="N24" s="247">
        <v>18311.44</v>
      </c>
      <c r="O24" s="247">
        <f t="shared" si="0"/>
        <v>10570</v>
      </c>
      <c r="P24" s="247">
        <f t="shared" si="1"/>
        <v>37701.220910000004</v>
      </c>
    </row>
    <row r="25" spans="1:16" ht="13.5">
      <c r="A25" s="179">
        <v>20</v>
      </c>
      <c r="B25" s="180" t="s">
        <v>69</v>
      </c>
      <c r="C25" s="247">
        <v>0</v>
      </c>
      <c r="D25" s="247">
        <v>0</v>
      </c>
      <c r="E25" s="247">
        <v>147</v>
      </c>
      <c r="F25" s="247">
        <v>530</v>
      </c>
      <c r="G25" s="247">
        <v>0</v>
      </c>
      <c r="H25" s="247">
        <v>0</v>
      </c>
      <c r="I25" s="247">
        <v>0</v>
      </c>
      <c r="J25" s="247">
        <v>0</v>
      </c>
      <c r="K25" s="247">
        <v>0</v>
      </c>
      <c r="L25" s="247">
        <v>0</v>
      </c>
      <c r="M25" s="247">
        <v>0</v>
      </c>
      <c r="N25" s="247">
        <v>0</v>
      </c>
      <c r="O25" s="247">
        <f t="shared" si="0"/>
        <v>147</v>
      </c>
      <c r="P25" s="247">
        <f t="shared" si="1"/>
        <v>530</v>
      </c>
    </row>
    <row r="26" spans="1:16" ht="13.5">
      <c r="A26" s="179">
        <v>21</v>
      </c>
      <c r="B26" s="180" t="s">
        <v>52</v>
      </c>
      <c r="C26" s="247">
        <v>188</v>
      </c>
      <c r="D26" s="247">
        <v>584.45</v>
      </c>
      <c r="E26" s="247">
        <v>833</v>
      </c>
      <c r="F26" s="247">
        <v>1740.7</v>
      </c>
      <c r="G26" s="247">
        <v>6</v>
      </c>
      <c r="H26" s="247">
        <v>5.68</v>
      </c>
      <c r="I26" s="247">
        <v>274</v>
      </c>
      <c r="J26" s="247">
        <v>1338.15</v>
      </c>
      <c r="K26" s="247">
        <v>1</v>
      </c>
      <c r="L26" s="247">
        <v>1.21</v>
      </c>
      <c r="M26" s="247">
        <v>1196</v>
      </c>
      <c r="N26" s="247">
        <v>3412.38</v>
      </c>
      <c r="O26" s="247">
        <f t="shared" si="0"/>
        <v>2498</v>
      </c>
      <c r="P26" s="247">
        <f t="shared" si="1"/>
        <v>7082.57</v>
      </c>
    </row>
    <row r="27" spans="1:16" ht="13.5">
      <c r="A27" s="288"/>
      <c r="B27" s="183" t="s">
        <v>293</v>
      </c>
      <c r="C27" s="251">
        <f>SUM(C6:C26)</f>
        <v>13833</v>
      </c>
      <c r="D27" s="251">
        <f aca="true" t="shared" si="2" ref="D27:P27">SUM(D6:D26)</f>
        <v>28668.4210169</v>
      </c>
      <c r="E27" s="251">
        <f t="shared" si="2"/>
        <v>68386</v>
      </c>
      <c r="F27" s="251">
        <f t="shared" si="2"/>
        <v>172793.3022067</v>
      </c>
      <c r="G27" s="251">
        <f t="shared" si="2"/>
        <v>979</v>
      </c>
      <c r="H27" s="251">
        <f t="shared" si="2"/>
        <v>2776.9906708</v>
      </c>
      <c r="I27" s="251">
        <f t="shared" si="2"/>
        <v>16055</v>
      </c>
      <c r="J27" s="251">
        <f t="shared" si="2"/>
        <v>90957.30461759999</v>
      </c>
      <c r="K27" s="251">
        <f t="shared" si="2"/>
        <v>913</v>
      </c>
      <c r="L27" s="251">
        <f t="shared" si="2"/>
        <v>2397.7177163</v>
      </c>
      <c r="M27" s="251">
        <f t="shared" si="2"/>
        <v>35959</v>
      </c>
      <c r="N27" s="251">
        <f t="shared" si="2"/>
        <v>128384.88</v>
      </c>
      <c r="O27" s="251">
        <f t="shared" si="2"/>
        <v>136125</v>
      </c>
      <c r="P27" s="251">
        <f t="shared" si="2"/>
        <v>425978.6162283</v>
      </c>
    </row>
    <row r="28" spans="1:16" ht="13.5">
      <c r="A28" s="179">
        <v>22</v>
      </c>
      <c r="B28" s="180" t="s">
        <v>294</v>
      </c>
      <c r="C28" s="247">
        <v>11</v>
      </c>
      <c r="D28" s="247">
        <v>24.68</v>
      </c>
      <c r="E28" s="247">
        <v>51</v>
      </c>
      <c r="F28" s="247">
        <v>280.06</v>
      </c>
      <c r="G28" s="247">
        <v>0</v>
      </c>
      <c r="H28" s="247">
        <v>0</v>
      </c>
      <c r="I28" s="247">
        <v>3</v>
      </c>
      <c r="J28" s="247">
        <v>9.5</v>
      </c>
      <c r="K28" s="247">
        <v>0</v>
      </c>
      <c r="L28" s="247">
        <v>0</v>
      </c>
      <c r="M28" s="247">
        <v>8</v>
      </c>
      <c r="N28" s="247">
        <v>2410</v>
      </c>
      <c r="O28" s="247">
        <f t="shared" si="0"/>
        <v>73</v>
      </c>
      <c r="P28" s="247">
        <f t="shared" si="1"/>
        <v>2724.24</v>
      </c>
    </row>
    <row r="29" spans="1:16" ht="13.5">
      <c r="A29" s="179">
        <v>23</v>
      </c>
      <c r="B29" s="180" t="s">
        <v>295</v>
      </c>
      <c r="C29" s="247">
        <v>0</v>
      </c>
      <c r="D29" s="247">
        <v>0</v>
      </c>
      <c r="E29" s="247">
        <v>8</v>
      </c>
      <c r="F29" s="247">
        <v>57.31</v>
      </c>
      <c r="G29" s="247">
        <v>0</v>
      </c>
      <c r="H29" s="247">
        <v>0</v>
      </c>
      <c r="I29" s="247">
        <v>0</v>
      </c>
      <c r="J29" s="247">
        <v>0</v>
      </c>
      <c r="K29" s="247">
        <v>0</v>
      </c>
      <c r="L29" s="247">
        <v>0</v>
      </c>
      <c r="M29" s="247">
        <v>0</v>
      </c>
      <c r="N29" s="247">
        <v>0</v>
      </c>
      <c r="O29" s="247">
        <f t="shared" si="0"/>
        <v>8</v>
      </c>
      <c r="P29" s="247">
        <f t="shared" si="1"/>
        <v>57.31</v>
      </c>
    </row>
    <row r="30" spans="1:16" ht="13.5">
      <c r="A30" s="179">
        <v>24</v>
      </c>
      <c r="B30" s="180" t="s">
        <v>296</v>
      </c>
      <c r="C30" s="247">
        <v>8</v>
      </c>
      <c r="D30" s="247">
        <v>52.59</v>
      </c>
      <c r="E30" s="247">
        <v>37</v>
      </c>
      <c r="F30" s="247">
        <v>137.82</v>
      </c>
      <c r="G30" s="247">
        <v>0</v>
      </c>
      <c r="H30" s="247">
        <v>0</v>
      </c>
      <c r="I30" s="247">
        <v>8</v>
      </c>
      <c r="J30" s="247">
        <v>68.14</v>
      </c>
      <c r="K30" s="247">
        <v>0</v>
      </c>
      <c r="L30" s="247">
        <v>0</v>
      </c>
      <c r="M30" s="247">
        <v>43</v>
      </c>
      <c r="N30" s="247">
        <v>147.74</v>
      </c>
      <c r="O30" s="247">
        <f t="shared" si="0"/>
        <v>96</v>
      </c>
      <c r="P30" s="247">
        <f t="shared" si="1"/>
        <v>406.29</v>
      </c>
    </row>
    <row r="31" spans="1:16" ht="14.25" customHeight="1">
      <c r="A31" s="179">
        <v>25</v>
      </c>
      <c r="B31" s="121" t="s">
        <v>297</v>
      </c>
      <c r="C31" s="247">
        <v>0</v>
      </c>
      <c r="D31" s="247">
        <v>0</v>
      </c>
      <c r="E31" s="247">
        <v>0</v>
      </c>
      <c r="F31" s="247">
        <v>0</v>
      </c>
      <c r="G31" s="247">
        <v>0</v>
      </c>
      <c r="H31" s="247">
        <v>0</v>
      </c>
      <c r="I31" s="247">
        <v>0</v>
      </c>
      <c r="J31" s="247">
        <v>0</v>
      </c>
      <c r="K31" s="247">
        <v>0</v>
      </c>
      <c r="L31" s="247">
        <v>0</v>
      </c>
      <c r="M31" s="247">
        <v>0</v>
      </c>
      <c r="N31" s="247">
        <v>0</v>
      </c>
      <c r="O31" s="247">
        <f t="shared" si="0"/>
        <v>0</v>
      </c>
      <c r="P31" s="247">
        <f t="shared" si="1"/>
        <v>0</v>
      </c>
    </row>
    <row r="32" spans="1:16" ht="13.5">
      <c r="A32" s="179">
        <v>26</v>
      </c>
      <c r="B32" s="180" t="s">
        <v>298</v>
      </c>
      <c r="C32" s="247">
        <v>44</v>
      </c>
      <c r="D32" s="247">
        <v>258.12</v>
      </c>
      <c r="E32" s="247">
        <v>298</v>
      </c>
      <c r="F32" s="247">
        <v>767.76</v>
      </c>
      <c r="G32" s="247">
        <v>0</v>
      </c>
      <c r="H32" s="247">
        <v>0</v>
      </c>
      <c r="I32" s="247">
        <v>28</v>
      </c>
      <c r="J32" s="247">
        <v>110.27</v>
      </c>
      <c r="K32" s="247">
        <v>0</v>
      </c>
      <c r="L32" s="247">
        <v>0</v>
      </c>
      <c r="M32" s="247">
        <v>317</v>
      </c>
      <c r="N32" s="247">
        <v>2454.14</v>
      </c>
      <c r="O32" s="247">
        <f t="shared" si="0"/>
        <v>687</v>
      </c>
      <c r="P32" s="247">
        <f t="shared" si="1"/>
        <v>3590.29</v>
      </c>
    </row>
    <row r="33" spans="1:16" ht="13.5">
      <c r="A33" s="179">
        <v>27</v>
      </c>
      <c r="B33" s="180" t="s">
        <v>72</v>
      </c>
      <c r="C33" s="247">
        <v>7072</v>
      </c>
      <c r="D33" s="247">
        <v>4415</v>
      </c>
      <c r="E33" s="247">
        <v>67794</v>
      </c>
      <c r="F33" s="247">
        <v>104618</v>
      </c>
      <c r="G33" s="247">
        <v>3698</v>
      </c>
      <c r="H33" s="247">
        <v>4899</v>
      </c>
      <c r="I33" s="247">
        <v>15558</v>
      </c>
      <c r="J33" s="247">
        <v>32770</v>
      </c>
      <c r="K33" s="247">
        <v>197</v>
      </c>
      <c r="L33" s="247">
        <v>727</v>
      </c>
      <c r="M33" s="247">
        <v>12981</v>
      </c>
      <c r="N33" s="247">
        <v>30437</v>
      </c>
      <c r="O33" s="247">
        <f t="shared" si="0"/>
        <v>107300</v>
      </c>
      <c r="P33" s="247">
        <f t="shared" si="1"/>
        <v>177866</v>
      </c>
    </row>
    <row r="34" spans="1:16" ht="13.5">
      <c r="A34" s="288"/>
      <c r="B34" s="183" t="s">
        <v>299</v>
      </c>
      <c r="C34" s="251">
        <f>SUM(C28:C33)</f>
        <v>7135</v>
      </c>
      <c r="D34" s="251">
        <f aca="true" t="shared" si="3" ref="D34:P34">SUM(D28:D33)</f>
        <v>4750.39</v>
      </c>
      <c r="E34" s="251">
        <f t="shared" si="3"/>
        <v>68188</v>
      </c>
      <c r="F34" s="251">
        <f t="shared" si="3"/>
        <v>105860.95</v>
      </c>
      <c r="G34" s="251">
        <f t="shared" si="3"/>
        <v>3698</v>
      </c>
      <c r="H34" s="251">
        <f t="shared" si="3"/>
        <v>4899</v>
      </c>
      <c r="I34" s="251">
        <f t="shared" si="3"/>
        <v>15597</v>
      </c>
      <c r="J34" s="251">
        <f t="shared" si="3"/>
        <v>32957.91</v>
      </c>
      <c r="K34" s="251">
        <f t="shared" si="3"/>
        <v>197</v>
      </c>
      <c r="L34" s="251">
        <f t="shared" si="3"/>
        <v>727</v>
      </c>
      <c r="M34" s="251">
        <f t="shared" si="3"/>
        <v>13349</v>
      </c>
      <c r="N34" s="251">
        <f t="shared" si="3"/>
        <v>35448.88</v>
      </c>
      <c r="O34" s="251">
        <f t="shared" si="3"/>
        <v>108164</v>
      </c>
      <c r="P34" s="251">
        <f t="shared" si="3"/>
        <v>184644.13</v>
      </c>
    </row>
    <row r="35" spans="1:16" ht="13.5">
      <c r="A35" s="179">
        <v>28</v>
      </c>
      <c r="B35" s="180" t="s">
        <v>49</v>
      </c>
      <c r="C35" s="247">
        <v>57</v>
      </c>
      <c r="D35" s="247">
        <v>429.75</v>
      </c>
      <c r="E35" s="247">
        <v>2022</v>
      </c>
      <c r="F35" s="247">
        <v>3894.76</v>
      </c>
      <c r="G35" s="247">
        <v>4</v>
      </c>
      <c r="H35" s="247">
        <v>22.77</v>
      </c>
      <c r="I35" s="247">
        <v>264</v>
      </c>
      <c r="J35" s="247">
        <v>2222.28</v>
      </c>
      <c r="K35" s="247">
        <v>0</v>
      </c>
      <c r="L35" s="247">
        <v>0</v>
      </c>
      <c r="M35" s="247">
        <v>0</v>
      </c>
      <c r="N35" s="247">
        <v>0</v>
      </c>
      <c r="O35" s="247">
        <f t="shared" si="0"/>
        <v>2347</v>
      </c>
      <c r="P35" s="247">
        <f t="shared" si="1"/>
        <v>6569.560000000001</v>
      </c>
    </row>
    <row r="36" spans="1:16" ht="13.5">
      <c r="A36" s="179">
        <v>29</v>
      </c>
      <c r="B36" s="180" t="s">
        <v>53</v>
      </c>
      <c r="C36" s="247"/>
      <c r="D36" s="247"/>
      <c r="E36" s="247">
        <v>3</v>
      </c>
      <c r="F36" s="247">
        <v>33.44</v>
      </c>
      <c r="G36" s="247"/>
      <c r="H36" s="247"/>
      <c r="I36" s="247"/>
      <c r="J36" s="247"/>
      <c r="K36" s="247"/>
      <c r="L36" s="247"/>
      <c r="M36" s="247"/>
      <c r="N36" s="247"/>
      <c r="O36" s="247">
        <f t="shared" si="0"/>
        <v>3</v>
      </c>
      <c r="P36" s="247">
        <f t="shared" si="1"/>
        <v>33.44</v>
      </c>
    </row>
    <row r="37" spans="1:16" ht="13.5">
      <c r="A37" s="179">
        <v>30</v>
      </c>
      <c r="B37" s="180" t="s">
        <v>300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>
        <f t="shared" si="0"/>
        <v>0</v>
      </c>
      <c r="P37" s="247">
        <f t="shared" si="1"/>
        <v>0</v>
      </c>
    </row>
    <row r="38" spans="1:16" ht="13.5">
      <c r="A38" s="179">
        <v>31</v>
      </c>
      <c r="B38" s="180" t="s">
        <v>301</v>
      </c>
      <c r="C38" s="247">
        <v>2</v>
      </c>
      <c r="D38" s="247">
        <v>4.83</v>
      </c>
      <c r="E38" s="247">
        <v>7</v>
      </c>
      <c r="F38" s="247">
        <v>4.27</v>
      </c>
      <c r="G38" s="247">
        <v>0</v>
      </c>
      <c r="H38" s="247">
        <v>0</v>
      </c>
      <c r="I38" s="247">
        <v>0</v>
      </c>
      <c r="J38" s="247">
        <v>0</v>
      </c>
      <c r="K38" s="247">
        <v>0</v>
      </c>
      <c r="L38" s="247">
        <v>0</v>
      </c>
      <c r="M38" s="247">
        <v>0</v>
      </c>
      <c r="N38" s="247">
        <v>0</v>
      </c>
      <c r="O38" s="247">
        <f t="shared" si="0"/>
        <v>9</v>
      </c>
      <c r="P38" s="247">
        <f t="shared" si="1"/>
        <v>9.1</v>
      </c>
    </row>
    <row r="39" spans="1:16" ht="13.5">
      <c r="A39" s="179">
        <v>32</v>
      </c>
      <c r="B39" s="180" t="s">
        <v>302</v>
      </c>
      <c r="C39" s="247">
        <v>65</v>
      </c>
      <c r="D39" s="247">
        <v>539.72</v>
      </c>
      <c r="E39" s="247">
        <v>64</v>
      </c>
      <c r="F39" s="247">
        <v>155.37</v>
      </c>
      <c r="G39" s="247">
        <v>0</v>
      </c>
      <c r="H39" s="247">
        <v>0</v>
      </c>
      <c r="I39" s="247">
        <v>12</v>
      </c>
      <c r="J39" s="247">
        <v>28.61</v>
      </c>
      <c r="K39" s="247">
        <v>2</v>
      </c>
      <c r="L39" s="247">
        <v>5.95</v>
      </c>
      <c r="M39" s="247">
        <v>0</v>
      </c>
      <c r="N39" s="247">
        <v>0</v>
      </c>
      <c r="O39" s="247">
        <f t="shared" si="0"/>
        <v>143</v>
      </c>
      <c r="P39" s="247">
        <f t="shared" si="1"/>
        <v>729.6500000000001</v>
      </c>
    </row>
    <row r="40" spans="1:16" ht="13.5">
      <c r="A40" s="179">
        <v>33</v>
      </c>
      <c r="B40" s="180" t="s">
        <v>303</v>
      </c>
      <c r="C40" s="247">
        <v>243</v>
      </c>
      <c r="D40" s="247">
        <v>193.28</v>
      </c>
      <c r="E40" s="247">
        <v>17541</v>
      </c>
      <c r="F40" s="247">
        <v>14795.75</v>
      </c>
      <c r="G40" s="247">
        <v>6</v>
      </c>
      <c r="H40" s="247">
        <v>1.91</v>
      </c>
      <c r="I40" s="247">
        <v>1022</v>
      </c>
      <c r="J40" s="247">
        <v>4478.45</v>
      </c>
      <c r="K40" s="247">
        <v>4</v>
      </c>
      <c r="L40" s="247">
        <v>0.67</v>
      </c>
      <c r="M40" s="247">
        <v>367</v>
      </c>
      <c r="N40" s="247">
        <v>1578.75</v>
      </c>
      <c r="O40" s="247">
        <f t="shared" si="0"/>
        <v>19183</v>
      </c>
      <c r="P40" s="247">
        <f t="shared" si="1"/>
        <v>21048.809999999998</v>
      </c>
    </row>
    <row r="41" spans="1:16" ht="13.5">
      <c r="A41" s="179">
        <v>34</v>
      </c>
      <c r="B41" s="180" t="s">
        <v>304</v>
      </c>
      <c r="C41" s="247">
        <v>313</v>
      </c>
      <c r="D41" s="247">
        <v>1306.9</v>
      </c>
      <c r="E41" s="247">
        <v>6531</v>
      </c>
      <c r="F41" s="247">
        <v>18032</v>
      </c>
      <c r="G41" s="247">
        <v>87</v>
      </c>
      <c r="H41" s="247">
        <v>152.33</v>
      </c>
      <c r="I41" s="247">
        <v>1243</v>
      </c>
      <c r="J41" s="247">
        <v>8311</v>
      </c>
      <c r="K41" s="247">
        <v>147</v>
      </c>
      <c r="L41" s="247">
        <v>207.35</v>
      </c>
      <c r="M41" s="247">
        <v>301</v>
      </c>
      <c r="N41" s="247">
        <v>2396.3</v>
      </c>
      <c r="O41" s="247">
        <f t="shared" si="0"/>
        <v>8622</v>
      </c>
      <c r="P41" s="247">
        <f t="shared" si="1"/>
        <v>30405.88</v>
      </c>
    </row>
    <row r="42" spans="1:16" ht="13.5">
      <c r="A42" s="179">
        <v>35</v>
      </c>
      <c r="B42" s="180" t="s">
        <v>305</v>
      </c>
      <c r="C42" s="247">
        <v>11</v>
      </c>
      <c r="D42" s="247">
        <v>9</v>
      </c>
      <c r="E42" s="247">
        <v>548</v>
      </c>
      <c r="F42" s="247">
        <v>1587</v>
      </c>
      <c r="G42" s="247">
        <v>0</v>
      </c>
      <c r="H42" s="247">
        <v>0</v>
      </c>
      <c r="I42" s="247">
        <v>23</v>
      </c>
      <c r="J42" s="247">
        <v>171</v>
      </c>
      <c r="K42" s="247">
        <v>0</v>
      </c>
      <c r="L42" s="247">
        <v>0</v>
      </c>
      <c r="M42" s="247">
        <v>75</v>
      </c>
      <c r="N42" s="247">
        <v>424</v>
      </c>
      <c r="O42" s="247">
        <f t="shared" si="0"/>
        <v>657</v>
      </c>
      <c r="P42" s="247">
        <f t="shared" si="1"/>
        <v>2191</v>
      </c>
    </row>
    <row r="43" spans="1:16" ht="13.5">
      <c r="A43" s="179">
        <v>36</v>
      </c>
      <c r="B43" s="180" t="s">
        <v>255</v>
      </c>
      <c r="C43" s="337"/>
      <c r="D43" s="338"/>
      <c r="E43" s="337"/>
      <c r="F43" s="337"/>
      <c r="G43" s="337"/>
      <c r="H43" s="338"/>
      <c r="I43" s="337"/>
      <c r="J43" s="337"/>
      <c r="K43" s="337"/>
      <c r="L43" s="338"/>
      <c r="M43" s="337"/>
      <c r="N43" s="337"/>
      <c r="O43" s="247">
        <v>27074</v>
      </c>
      <c r="P43" s="247">
        <v>6232</v>
      </c>
    </row>
    <row r="44" spans="1:16" ht="13.5">
      <c r="A44" s="179">
        <v>37</v>
      </c>
      <c r="B44" s="180" t="s">
        <v>306</v>
      </c>
      <c r="C44" s="247">
        <v>0</v>
      </c>
      <c r="D44" s="247">
        <v>0</v>
      </c>
      <c r="E44" s="247">
        <v>65</v>
      </c>
      <c r="F44" s="247">
        <v>375</v>
      </c>
      <c r="G44" s="247">
        <v>3</v>
      </c>
      <c r="H44" s="247">
        <v>69</v>
      </c>
      <c r="I44" s="247">
        <v>0</v>
      </c>
      <c r="J44" s="247">
        <v>0</v>
      </c>
      <c r="K44" s="247"/>
      <c r="L44" s="247"/>
      <c r="M44" s="247">
        <v>6</v>
      </c>
      <c r="N44" s="247">
        <v>72</v>
      </c>
      <c r="O44" s="247">
        <f t="shared" si="0"/>
        <v>74</v>
      </c>
      <c r="P44" s="247">
        <f t="shared" si="1"/>
        <v>516</v>
      </c>
    </row>
    <row r="45" spans="1:16" ht="13.5">
      <c r="A45" s="179">
        <v>38</v>
      </c>
      <c r="B45" s="180" t="s">
        <v>307</v>
      </c>
      <c r="C45" s="247">
        <v>6</v>
      </c>
      <c r="D45" s="247">
        <v>28</v>
      </c>
      <c r="E45" s="247">
        <v>80</v>
      </c>
      <c r="F45" s="247">
        <v>402</v>
      </c>
      <c r="G45" s="247"/>
      <c r="H45" s="247"/>
      <c r="I45" s="247"/>
      <c r="J45" s="247"/>
      <c r="K45" s="247"/>
      <c r="L45" s="247"/>
      <c r="M45" s="247">
        <v>32</v>
      </c>
      <c r="N45" s="247">
        <v>185</v>
      </c>
      <c r="O45" s="247">
        <f t="shared" si="0"/>
        <v>118</v>
      </c>
      <c r="P45" s="247">
        <f t="shared" si="1"/>
        <v>615</v>
      </c>
    </row>
    <row r="46" spans="1:16" ht="13.5">
      <c r="A46" s="179">
        <v>39</v>
      </c>
      <c r="B46" s="180" t="s">
        <v>95</v>
      </c>
      <c r="C46" s="247">
        <v>0</v>
      </c>
      <c r="D46" s="247">
        <v>0</v>
      </c>
      <c r="E46" s="247">
        <v>0</v>
      </c>
      <c r="F46" s="247">
        <v>0</v>
      </c>
      <c r="G46" s="247">
        <v>0</v>
      </c>
      <c r="H46" s="247">
        <v>0</v>
      </c>
      <c r="I46" s="247">
        <v>0</v>
      </c>
      <c r="J46" s="247">
        <v>0</v>
      </c>
      <c r="K46" s="247">
        <v>0</v>
      </c>
      <c r="L46" s="247">
        <v>0</v>
      </c>
      <c r="M46" s="247">
        <v>0</v>
      </c>
      <c r="N46" s="247">
        <v>0</v>
      </c>
      <c r="O46" s="247">
        <f t="shared" si="0"/>
        <v>0</v>
      </c>
      <c r="P46" s="247">
        <f t="shared" si="1"/>
        <v>0</v>
      </c>
    </row>
    <row r="47" spans="1:16" ht="13.5">
      <c r="A47" s="179">
        <v>40</v>
      </c>
      <c r="B47" s="180" t="s">
        <v>308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>
        <f t="shared" si="0"/>
        <v>0</v>
      </c>
      <c r="P47" s="247">
        <f t="shared" si="1"/>
        <v>0</v>
      </c>
    </row>
    <row r="48" spans="1:16" ht="13.5">
      <c r="A48" s="179">
        <v>41</v>
      </c>
      <c r="B48" s="180" t="s">
        <v>309</v>
      </c>
      <c r="C48" s="247">
        <v>0</v>
      </c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>
        <f t="shared" si="0"/>
        <v>0</v>
      </c>
      <c r="P48" s="247">
        <f t="shared" si="1"/>
        <v>0</v>
      </c>
    </row>
    <row r="49" spans="1:16" ht="13.5">
      <c r="A49" s="179">
        <v>42</v>
      </c>
      <c r="B49" s="180" t="s">
        <v>310</v>
      </c>
      <c r="C49" s="247">
        <v>0</v>
      </c>
      <c r="D49" s="247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0</v>
      </c>
      <c r="M49" s="247">
        <v>0</v>
      </c>
      <c r="N49" s="247">
        <v>0</v>
      </c>
      <c r="O49" s="247">
        <f t="shared" si="0"/>
        <v>0</v>
      </c>
      <c r="P49" s="247">
        <f t="shared" si="1"/>
        <v>0</v>
      </c>
    </row>
    <row r="50" spans="1:16" ht="13.5">
      <c r="A50" s="179">
        <v>43</v>
      </c>
      <c r="B50" s="180" t="s">
        <v>311</v>
      </c>
      <c r="C50" s="247">
        <v>41</v>
      </c>
      <c r="D50" s="247">
        <v>2.7487774799999998</v>
      </c>
      <c r="E50" s="247">
        <v>7719</v>
      </c>
      <c r="F50" s="247">
        <v>743.4732740799998</v>
      </c>
      <c r="G50" s="247">
        <v>131</v>
      </c>
      <c r="H50" s="247">
        <v>9.66650712</v>
      </c>
      <c r="I50" s="247">
        <v>29</v>
      </c>
      <c r="J50" s="247">
        <v>1.9016073999999992</v>
      </c>
      <c r="K50" s="247">
        <v>2</v>
      </c>
      <c r="L50" s="247">
        <v>0.22091309999999997</v>
      </c>
      <c r="M50" s="247">
        <v>0</v>
      </c>
      <c r="N50" s="247">
        <v>0</v>
      </c>
      <c r="O50" s="247">
        <f t="shared" si="0"/>
        <v>7922</v>
      </c>
      <c r="P50" s="247">
        <f t="shared" si="1"/>
        <v>758.0110791799997</v>
      </c>
    </row>
    <row r="51" spans="1:16" ht="13.5">
      <c r="A51" s="179">
        <v>44</v>
      </c>
      <c r="B51" s="180" t="s">
        <v>78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>
        <f t="shared" si="0"/>
        <v>0</v>
      </c>
      <c r="P51" s="247">
        <f t="shared" si="1"/>
        <v>0</v>
      </c>
    </row>
    <row r="52" spans="1:16" ht="13.5">
      <c r="A52" s="183"/>
      <c r="B52" s="183" t="s">
        <v>274</v>
      </c>
      <c r="C52" s="251">
        <f>SUM(C35:C51)</f>
        <v>738</v>
      </c>
      <c r="D52" s="251">
        <f aca="true" t="shared" si="4" ref="D52:P52">SUM(D35:D51)</f>
        <v>2514.22877748</v>
      </c>
      <c r="E52" s="251">
        <f t="shared" si="4"/>
        <v>34580</v>
      </c>
      <c r="F52" s="251">
        <f t="shared" si="4"/>
        <v>40023.06327408</v>
      </c>
      <c r="G52" s="251">
        <f t="shared" si="4"/>
        <v>231</v>
      </c>
      <c r="H52" s="251">
        <f t="shared" si="4"/>
        <v>255.67650712000002</v>
      </c>
      <c r="I52" s="251">
        <f t="shared" si="4"/>
        <v>2593</v>
      </c>
      <c r="J52" s="251">
        <f t="shared" si="4"/>
        <v>15213.2416074</v>
      </c>
      <c r="K52" s="251">
        <f t="shared" si="4"/>
        <v>155</v>
      </c>
      <c r="L52" s="251">
        <f t="shared" si="4"/>
        <v>214.1909131</v>
      </c>
      <c r="M52" s="251">
        <f t="shared" si="4"/>
        <v>781</v>
      </c>
      <c r="N52" s="251">
        <f t="shared" si="4"/>
        <v>4656.05</v>
      </c>
      <c r="O52" s="251">
        <f t="shared" si="4"/>
        <v>66152</v>
      </c>
      <c r="P52" s="251">
        <f t="shared" si="4"/>
        <v>69108.45107918</v>
      </c>
    </row>
    <row r="53" spans="1:16" ht="13.5">
      <c r="A53" s="179">
        <v>45</v>
      </c>
      <c r="B53" s="180" t="s">
        <v>48</v>
      </c>
      <c r="C53" s="247">
        <v>1382</v>
      </c>
      <c r="D53" s="247">
        <v>632</v>
      </c>
      <c r="E53" s="247">
        <v>20705</v>
      </c>
      <c r="F53" s="247">
        <v>7925</v>
      </c>
      <c r="G53" s="247">
        <v>495</v>
      </c>
      <c r="H53" s="247">
        <v>323</v>
      </c>
      <c r="I53" s="247">
        <v>1793</v>
      </c>
      <c r="J53" s="247">
        <v>555</v>
      </c>
      <c r="K53" s="247">
        <v>0</v>
      </c>
      <c r="L53" s="247">
        <v>0</v>
      </c>
      <c r="M53" s="247">
        <v>7656</v>
      </c>
      <c r="N53" s="247">
        <v>15431</v>
      </c>
      <c r="O53" s="247">
        <f t="shared" si="0"/>
        <v>32031</v>
      </c>
      <c r="P53" s="247">
        <f t="shared" si="1"/>
        <v>24866</v>
      </c>
    </row>
    <row r="54" spans="1:16" ht="13.5">
      <c r="A54" s="179">
        <v>46</v>
      </c>
      <c r="B54" s="180" t="s">
        <v>269</v>
      </c>
      <c r="C54" s="247">
        <v>95</v>
      </c>
      <c r="D54" s="247">
        <v>68</v>
      </c>
      <c r="E54" s="247">
        <v>8860</v>
      </c>
      <c r="F54" s="247">
        <v>4388</v>
      </c>
      <c r="G54" s="247">
        <v>0</v>
      </c>
      <c r="H54" s="247">
        <v>0</v>
      </c>
      <c r="I54" s="247">
        <v>682</v>
      </c>
      <c r="J54" s="247">
        <v>540</v>
      </c>
      <c r="K54" s="247">
        <v>0</v>
      </c>
      <c r="L54" s="247">
        <v>0</v>
      </c>
      <c r="M54" s="247">
        <v>20779</v>
      </c>
      <c r="N54" s="247">
        <v>7825</v>
      </c>
      <c r="O54" s="247">
        <f t="shared" si="0"/>
        <v>30416</v>
      </c>
      <c r="P54" s="247">
        <f t="shared" si="1"/>
        <v>12821</v>
      </c>
    </row>
    <row r="55" spans="1:16" ht="13.5">
      <c r="A55" s="179">
        <v>47</v>
      </c>
      <c r="B55" s="180" t="s">
        <v>54</v>
      </c>
      <c r="C55" s="247">
        <v>881</v>
      </c>
      <c r="D55" s="247">
        <v>849</v>
      </c>
      <c r="E55" s="247">
        <v>16803</v>
      </c>
      <c r="F55" s="247">
        <v>9655.01</v>
      </c>
      <c r="G55" s="247">
        <v>0</v>
      </c>
      <c r="H55" s="247">
        <v>0</v>
      </c>
      <c r="I55" s="247">
        <v>994</v>
      </c>
      <c r="J55" s="247">
        <v>977.19</v>
      </c>
      <c r="K55" s="247">
        <v>0</v>
      </c>
      <c r="L55" s="247">
        <v>0</v>
      </c>
      <c r="M55" s="247">
        <v>2950</v>
      </c>
      <c r="N55" s="247">
        <v>3280.47</v>
      </c>
      <c r="O55" s="247">
        <f t="shared" si="0"/>
        <v>21628</v>
      </c>
      <c r="P55" s="247">
        <f t="shared" si="1"/>
        <v>14761.67</v>
      </c>
    </row>
    <row r="56" spans="1:16" ht="13.5">
      <c r="A56" s="183"/>
      <c r="B56" s="183" t="s">
        <v>270</v>
      </c>
      <c r="C56" s="251">
        <f>SUM(C53:C55)</f>
        <v>2358</v>
      </c>
      <c r="D56" s="251">
        <f aca="true" t="shared" si="5" ref="D56:P56">SUM(D53:D55)</f>
        <v>1549</v>
      </c>
      <c r="E56" s="251">
        <f t="shared" si="5"/>
        <v>46368</v>
      </c>
      <c r="F56" s="251">
        <f t="shared" si="5"/>
        <v>21968.010000000002</v>
      </c>
      <c r="G56" s="251">
        <f t="shared" si="5"/>
        <v>495</v>
      </c>
      <c r="H56" s="251">
        <f t="shared" si="5"/>
        <v>323</v>
      </c>
      <c r="I56" s="251">
        <f t="shared" si="5"/>
        <v>3469</v>
      </c>
      <c r="J56" s="251">
        <f t="shared" si="5"/>
        <v>2072.19</v>
      </c>
      <c r="K56" s="251">
        <f t="shared" si="5"/>
        <v>0</v>
      </c>
      <c r="L56" s="251">
        <f t="shared" si="5"/>
        <v>0</v>
      </c>
      <c r="M56" s="251">
        <f t="shared" si="5"/>
        <v>31385</v>
      </c>
      <c r="N56" s="251">
        <f t="shared" si="5"/>
        <v>26536.47</v>
      </c>
      <c r="O56" s="251">
        <f t="shared" si="5"/>
        <v>84075</v>
      </c>
      <c r="P56" s="251">
        <f t="shared" si="5"/>
        <v>52448.67</v>
      </c>
    </row>
    <row r="57" spans="1:16" ht="13.5">
      <c r="A57" s="179">
        <v>48</v>
      </c>
      <c r="B57" s="180" t="s">
        <v>312</v>
      </c>
      <c r="C57" s="247">
        <v>872</v>
      </c>
      <c r="D57" s="247">
        <v>164.43</v>
      </c>
      <c r="E57" s="247">
        <v>35643</v>
      </c>
      <c r="F57" s="247">
        <v>14092.29</v>
      </c>
      <c r="G57" s="247">
        <v>1517</v>
      </c>
      <c r="H57" s="247">
        <v>362</v>
      </c>
      <c r="I57" s="247">
        <v>1647</v>
      </c>
      <c r="J57" s="247">
        <v>806</v>
      </c>
      <c r="K57" s="247">
        <v>0</v>
      </c>
      <c r="L57" s="247">
        <v>0</v>
      </c>
      <c r="M57" s="247">
        <v>6916</v>
      </c>
      <c r="N57" s="247">
        <v>3440.82</v>
      </c>
      <c r="O57" s="247">
        <f t="shared" si="0"/>
        <v>46595</v>
      </c>
      <c r="P57" s="247">
        <f t="shared" si="1"/>
        <v>18865.54</v>
      </c>
    </row>
    <row r="58" spans="1:16" ht="13.5">
      <c r="A58" s="183"/>
      <c r="B58" s="183" t="s">
        <v>275</v>
      </c>
      <c r="C58" s="251">
        <f>C57</f>
        <v>872</v>
      </c>
      <c r="D58" s="251">
        <f aca="true" t="shared" si="6" ref="D58:P58">D57</f>
        <v>164.43</v>
      </c>
      <c r="E58" s="251">
        <f t="shared" si="6"/>
        <v>35643</v>
      </c>
      <c r="F58" s="251">
        <f t="shared" si="6"/>
        <v>14092.29</v>
      </c>
      <c r="G58" s="251">
        <f t="shared" si="6"/>
        <v>1517</v>
      </c>
      <c r="H58" s="251">
        <f t="shared" si="6"/>
        <v>362</v>
      </c>
      <c r="I58" s="251">
        <f t="shared" si="6"/>
        <v>1647</v>
      </c>
      <c r="J58" s="251">
        <f t="shared" si="6"/>
        <v>806</v>
      </c>
      <c r="K58" s="251">
        <f t="shared" si="6"/>
        <v>0</v>
      </c>
      <c r="L58" s="251">
        <f t="shared" si="6"/>
        <v>0</v>
      </c>
      <c r="M58" s="251">
        <f t="shared" si="6"/>
        <v>6916</v>
      </c>
      <c r="N58" s="251">
        <f t="shared" si="6"/>
        <v>3440.82</v>
      </c>
      <c r="O58" s="251">
        <f t="shared" si="6"/>
        <v>46595</v>
      </c>
      <c r="P58" s="251">
        <f t="shared" si="6"/>
        <v>18865.54</v>
      </c>
    </row>
    <row r="59" spans="1:16" ht="13.5">
      <c r="A59" s="183"/>
      <c r="B59" s="183" t="s">
        <v>276</v>
      </c>
      <c r="C59" s="251">
        <f>C58+C56+C52+C34+C27</f>
        <v>24936</v>
      </c>
      <c r="D59" s="251">
        <f aca="true" t="shared" si="7" ref="D59:P59">D58+D56+D52+D34+D27</f>
        <v>37646.46979438</v>
      </c>
      <c r="E59" s="251">
        <f t="shared" si="7"/>
        <v>253165</v>
      </c>
      <c r="F59" s="251">
        <f t="shared" si="7"/>
        <v>354737.61548078</v>
      </c>
      <c r="G59" s="251">
        <f t="shared" si="7"/>
        <v>6920</v>
      </c>
      <c r="H59" s="251">
        <f t="shared" si="7"/>
        <v>8616.66717792</v>
      </c>
      <c r="I59" s="251">
        <f t="shared" si="7"/>
        <v>39361</v>
      </c>
      <c r="J59" s="251">
        <f t="shared" si="7"/>
        <v>142006.64622499997</v>
      </c>
      <c r="K59" s="251">
        <f t="shared" si="7"/>
        <v>1265</v>
      </c>
      <c r="L59" s="251">
        <f t="shared" si="7"/>
        <v>3338.9086294</v>
      </c>
      <c r="M59" s="251">
        <f t="shared" si="7"/>
        <v>88390</v>
      </c>
      <c r="N59" s="251">
        <f t="shared" si="7"/>
        <v>198467.1</v>
      </c>
      <c r="O59" s="251">
        <f t="shared" si="7"/>
        <v>441111</v>
      </c>
      <c r="P59" s="251">
        <f t="shared" si="7"/>
        <v>751045.40730748</v>
      </c>
    </row>
  </sheetData>
  <sheetProtection/>
  <mergeCells count="12">
    <mergeCell ref="K4:L4"/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</mergeCells>
  <conditionalFormatting sqref="M3">
    <cfRule type="cellIs" priority="7" dxfId="198" operator="lessThan">
      <formula>0</formula>
    </cfRule>
  </conditionalFormatting>
  <conditionalFormatting sqref="B6">
    <cfRule type="duplicateValues" priority="1" dxfId="197">
      <formula>AND(COUNTIF($B$6:$B$6,B6)&gt;1,NOT(ISBLANK(B6)))</formula>
    </cfRule>
  </conditionalFormatting>
  <conditionalFormatting sqref="B22">
    <cfRule type="duplicateValues" priority="2" dxfId="197">
      <formula>AND(COUNTIF($B$22:$B$22,B22)&gt;1,NOT(ISBLANK(B22)))</formula>
    </cfRule>
  </conditionalFormatting>
  <conditionalFormatting sqref="B33:B34 B26:B30">
    <cfRule type="duplicateValues" priority="3" dxfId="197">
      <formula>AND(COUNTIF($B$33:$B$34,B26)+COUNTIF($B$26:$B$30,B26)&gt;1,NOT(ISBLANK(B26)))</formula>
    </cfRule>
  </conditionalFormatting>
  <conditionalFormatting sqref="B52">
    <cfRule type="duplicateValues" priority="4" dxfId="197">
      <formula>AND(COUNTIF($B$52:$B$52,B52)&gt;1,NOT(ISBLANK(B52)))</formula>
    </cfRule>
  </conditionalFormatting>
  <conditionalFormatting sqref="B56">
    <cfRule type="duplicateValues" priority="5" dxfId="197">
      <formula>AND(COUNTIF($B$56:$B$56,B56)&gt;1,NOT(ISBLANK(B56)))</formula>
    </cfRule>
  </conditionalFormatting>
  <conditionalFormatting sqref="B58">
    <cfRule type="duplicateValues" priority="6" dxfId="197">
      <formula>AND(COUNTIF($B$58:$B$58,B58)&gt;1,NOT(ISBLANK(B58)))</formula>
    </cfRule>
  </conditionalFormatting>
  <printOptions/>
  <pageMargins left="0.2" right="0.2" top="0.5" bottom="0.5" header="0.3" footer="0.3"/>
  <pageSetup horizontalDpi="600" verticalDpi="600" orientation="portrait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P59"/>
  <sheetViews>
    <sheetView view="pageBreakPreview" zoomScale="60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" sqref="F7"/>
    </sheetView>
  </sheetViews>
  <sheetFormatPr defaultColWidth="9.140625" defaultRowHeight="12.75"/>
  <cols>
    <col min="1" max="1" width="4.7109375" style="324" customWidth="1"/>
    <col min="2" max="2" width="24.421875" style="324" bestFit="1" customWidth="1"/>
    <col min="3" max="3" width="9.421875" style="324" bestFit="1" customWidth="1"/>
    <col min="4" max="4" width="11.57421875" style="324" bestFit="1" customWidth="1"/>
    <col min="5" max="5" width="9.421875" style="324" bestFit="1" customWidth="1"/>
    <col min="6" max="6" width="11.57421875" style="324" bestFit="1" customWidth="1"/>
    <col min="7" max="7" width="9.421875" style="324" bestFit="1" customWidth="1"/>
    <col min="8" max="8" width="10.57421875" style="324" bestFit="1" customWidth="1"/>
    <col min="9" max="9" width="9.421875" style="324" bestFit="1" customWidth="1"/>
    <col min="10" max="10" width="11.57421875" style="324" bestFit="1" customWidth="1"/>
    <col min="11" max="11" width="9.421875" style="324" bestFit="1" customWidth="1"/>
    <col min="12" max="12" width="10.57421875" style="324" bestFit="1" customWidth="1"/>
    <col min="13" max="13" width="9.421875" style="324" bestFit="1" customWidth="1"/>
    <col min="14" max="14" width="11.57421875" style="324" bestFit="1" customWidth="1"/>
    <col min="15" max="15" width="9.421875" style="324" bestFit="1" customWidth="1"/>
    <col min="16" max="16" width="11.57421875" style="324" bestFit="1" customWidth="1"/>
    <col min="17" max="16384" width="9.140625" style="324" customWidth="1"/>
  </cols>
  <sheetData>
    <row r="1" spans="1:16" ht="15.75" customHeight="1">
      <c r="A1" s="625" t="s">
        <v>216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</row>
    <row r="2" spans="1:6" ht="14.25">
      <c r="A2" s="58" t="s">
        <v>119</v>
      </c>
      <c r="B2" s="58"/>
      <c r="C2" s="58"/>
      <c r="D2" s="58"/>
      <c r="E2" s="58"/>
      <c r="F2" s="58"/>
    </row>
    <row r="3" spans="1:14" ht="15" customHeight="1">
      <c r="A3" s="38"/>
      <c r="B3" s="555" t="s">
        <v>12</v>
      </c>
      <c r="C3" s="555"/>
      <c r="D3" s="555"/>
      <c r="M3" s="659" t="s">
        <v>215</v>
      </c>
      <c r="N3" s="659"/>
    </row>
    <row r="4" spans="1:16" ht="12.75">
      <c r="A4" s="660" t="s">
        <v>272</v>
      </c>
      <c r="B4" s="660" t="s">
        <v>3</v>
      </c>
      <c r="C4" s="663" t="s">
        <v>27</v>
      </c>
      <c r="D4" s="664"/>
      <c r="E4" s="665" t="s">
        <v>211</v>
      </c>
      <c r="F4" s="665"/>
      <c r="G4" s="663" t="s">
        <v>28</v>
      </c>
      <c r="H4" s="664"/>
      <c r="I4" s="665" t="s">
        <v>26</v>
      </c>
      <c r="J4" s="665"/>
      <c r="K4" s="663" t="s">
        <v>212</v>
      </c>
      <c r="L4" s="664"/>
      <c r="M4" s="665" t="s">
        <v>29</v>
      </c>
      <c r="N4" s="665"/>
      <c r="O4" s="665" t="s">
        <v>0</v>
      </c>
      <c r="P4" s="665"/>
    </row>
    <row r="5" spans="1:16" ht="13.5">
      <c r="A5" s="661"/>
      <c r="B5" s="662"/>
      <c r="C5" s="290" t="s">
        <v>30</v>
      </c>
      <c r="D5" s="290" t="s">
        <v>17</v>
      </c>
      <c r="E5" s="290" t="s">
        <v>30</v>
      </c>
      <c r="F5" s="290" t="s">
        <v>17</v>
      </c>
      <c r="G5" s="290" t="s">
        <v>30</v>
      </c>
      <c r="H5" s="290" t="s">
        <v>17</v>
      </c>
      <c r="I5" s="290" t="s">
        <v>30</v>
      </c>
      <c r="J5" s="290" t="s">
        <v>17</v>
      </c>
      <c r="K5" s="290" t="s">
        <v>30</v>
      </c>
      <c r="L5" s="290" t="s">
        <v>17</v>
      </c>
      <c r="M5" s="290" t="s">
        <v>30</v>
      </c>
      <c r="N5" s="290" t="s">
        <v>17</v>
      </c>
      <c r="O5" s="314" t="s">
        <v>22</v>
      </c>
      <c r="P5" s="314" t="s">
        <v>23</v>
      </c>
    </row>
    <row r="6" spans="1:16" ht="12.75">
      <c r="A6" s="326">
        <v>1</v>
      </c>
      <c r="B6" s="327" t="s">
        <v>313</v>
      </c>
      <c r="C6" s="315">
        <v>109</v>
      </c>
      <c r="D6" s="315">
        <v>1241.12</v>
      </c>
      <c r="E6" s="315">
        <v>469</v>
      </c>
      <c r="F6" s="315">
        <v>1569.36</v>
      </c>
      <c r="G6" s="29">
        <v>0</v>
      </c>
      <c r="H6" s="29">
        <v>0</v>
      </c>
      <c r="I6" s="29">
        <v>126</v>
      </c>
      <c r="J6" s="29">
        <v>387</v>
      </c>
      <c r="K6" s="29">
        <v>0</v>
      </c>
      <c r="L6" s="29">
        <v>0</v>
      </c>
      <c r="M6" s="29">
        <v>29</v>
      </c>
      <c r="N6" s="29">
        <v>452.36</v>
      </c>
      <c r="O6" s="29">
        <f>C6+E6+G6+I6+K6+M6</f>
        <v>733</v>
      </c>
      <c r="P6" s="29">
        <f>D6+F6+H6+J6+L6+N6</f>
        <v>3649.8399999999997</v>
      </c>
    </row>
    <row r="7" spans="1:16" ht="12.75">
      <c r="A7" s="326">
        <v>2</v>
      </c>
      <c r="B7" s="327" t="s">
        <v>58</v>
      </c>
      <c r="C7" s="29">
        <v>3</v>
      </c>
      <c r="D7" s="29">
        <v>3</v>
      </c>
      <c r="E7" s="29">
        <v>50</v>
      </c>
      <c r="F7" s="29">
        <v>161</v>
      </c>
      <c r="G7" s="29">
        <v>0</v>
      </c>
      <c r="H7" s="29">
        <v>0</v>
      </c>
      <c r="I7" s="29">
        <v>13</v>
      </c>
      <c r="J7" s="29">
        <v>12</v>
      </c>
      <c r="K7" s="29">
        <v>0</v>
      </c>
      <c r="L7" s="29">
        <v>0</v>
      </c>
      <c r="M7" s="29">
        <v>12</v>
      </c>
      <c r="N7" s="29">
        <v>43</v>
      </c>
      <c r="O7" s="29">
        <f aca="true" t="shared" si="0" ref="O7:O57">C7+E7+G7+I7+K7+M7</f>
        <v>78</v>
      </c>
      <c r="P7" s="29">
        <f aca="true" t="shared" si="1" ref="P7:P57">D7+F7+H7+J7+L7+N7</f>
        <v>219</v>
      </c>
    </row>
    <row r="8" spans="1:16" ht="12.75">
      <c r="A8" s="326">
        <v>3</v>
      </c>
      <c r="B8" s="327" t="s">
        <v>59</v>
      </c>
      <c r="C8" s="29">
        <v>106</v>
      </c>
      <c r="D8" s="29">
        <v>499</v>
      </c>
      <c r="E8" s="29">
        <v>1199</v>
      </c>
      <c r="F8" s="29">
        <v>5313.5</v>
      </c>
      <c r="G8" s="29">
        <v>9</v>
      </c>
      <c r="H8" s="29">
        <v>9</v>
      </c>
      <c r="I8" s="29">
        <v>213</v>
      </c>
      <c r="J8" s="29">
        <v>6421.95</v>
      </c>
      <c r="K8" s="29">
        <v>0</v>
      </c>
      <c r="L8" s="29">
        <v>0</v>
      </c>
      <c r="M8" s="29">
        <v>666</v>
      </c>
      <c r="N8" s="29">
        <v>26259.5</v>
      </c>
      <c r="O8" s="29">
        <f t="shared" si="0"/>
        <v>2193</v>
      </c>
      <c r="P8" s="29">
        <f t="shared" si="1"/>
        <v>38502.95</v>
      </c>
    </row>
    <row r="9" spans="1:16" ht="12.75">
      <c r="A9" s="326">
        <v>4</v>
      </c>
      <c r="B9" s="327" t="s">
        <v>60</v>
      </c>
      <c r="C9" s="29">
        <v>172</v>
      </c>
      <c r="D9" s="29">
        <v>400.81933829999997</v>
      </c>
      <c r="E9" s="29">
        <v>5517</v>
      </c>
      <c r="F9" s="29">
        <v>11540.405893699997</v>
      </c>
      <c r="G9" s="29">
        <v>5</v>
      </c>
      <c r="H9" s="29">
        <v>32.917815399999995</v>
      </c>
      <c r="I9" s="29">
        <v>296</v>
      </c>
      <c r="J9" s="29">
        <v>18981.502377599998</v>
      </c>
      <c r="K9" s="29">
        <v>1</v>
      </c>
      <c r="L9" s="29">
        <v>5.26906</v>
      </c>
      <c r="M9" s="29">
        <v>52</v>
      </c>
      <c r="N9" s="29">
        <v>498.775014</v>
      </c>
      <c r="O9" s="29">
        <f t="shared" si="0"/>
        <v>6043</v>
      </c>
      <c r="P9" s="29">
        <f t="shared" si="1"/>
        <v>31459.689498999993</v>
      </c>
    </row>
    <row r="10" spans="1:16" ht="12.75">
      <c r="A10" s="326">
        <v>5</v>
      </c>
      <c r="B10" s="327" t="s">
        <v>61</v>
      </c>
      <c r="C10" s="29">
        <v>72</v>
      </c>
      <c r="D10" s="29">
        <v>128.91</v>
      </c>
      <c r="E10" s="29">
        <v>56</v>
      </c>
      <c r="F10" s="29">
        <v>105</v>
      </c>
      <c r="G10" s="29">
        <v>0</v>
      </c>
      <c r="H10" s="29">
        <v>0</v>
      </c>
      <c r="I10" s="29">
        <v>10</v>
      </c>
      <c r="J10" s="29">
        <v>42</v>
      </c>
      <c r="K10" s="29">
        <v>0</v>
      </c>
      <c r="L10" s="29">
        <v>0</v>
      </c>
      <c r="M10" s="29">
        <v>36</v>
      </c>
      <c r="N10" s="29">
        <v>156.21</v>
      </c>
      <c r="O10" s="29">
        <f t="shared" si="0"/>
        <v>174</v>
      </c>
      <c r="P10" s="29">
        <f t="shared" si="1"/>
        <v>432.12</v>
      </c>
    </row>
    <row r="11" spans="1:16" ht="14.25" customHeight="1">
      <c r="A11" s="326">
        <v>6</v>
      </c>
      <c r="B11" s="328" t="s">
        <v>289</v>
      </c>
      <c r="C11" s="29">
        <v>2</v>
      </c>
      <c r="D11" s="29">
        <v>0.5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3</v>
      </c>
      <c r="L11" s="29">
        <v>9</v>
      </c>
      <c r="M11" s="29">
        <v>5</v>
      </c>
      <c r="N11" s="29">
        <v>10</v>
      </c>
      <c r="O11" s="29">
        <f t="shared" si="0"/>
        <v>10</v>
      </c>
      <c r="P11" s="29">
        <f t="shared" si="1"/>
        <v>19.5</v>
      </c>
    </row>
    <row r="12" spans="1:16" ht="12.75">
      <c r="A12" s="326">
        <v>7</v>
      </c>
      <c r="B12" s="327" t="s">
        <v>62</v>
      </c>
      <c r="C12" s="29">
        <v>611</v>
      </c>
      <c r="D12" s="29">
        <v>580</v>
      </c>
      <c r="E12" s="29">
        <v>532</v>
      </c>
      <c r="F12" s="29">
        <v>673</v>
      </c>
      <c r="G12" s="29">
        <v>21</v>
      </c>
      <c r="H12" s="29">
        <v>101</v>
      </c>
      <c r="I12" s="29">
        <v>166</v>
      </c>
      <c r="J12" s="29">
        <v>501</v>
      </c>
      <c r="K12" s="29">
        <v>0</v>
      </c>
      <c r="L12" s="29">
        <v>0</v>
      </c>
      <c r="M12" s="29">
        <v>350</v>
      </c>
      <c r="N12" s="29">
        <v>868</v>
      </c>
      <c r="O12" s="29">
        <f t="shared" si="0"/>
        <v>1680</v>
      </c>
      <c r="P12" s="29">
        <f t="shared" si="1"/>
        <v>2723</v>
      </c>
    </row>
    <row r="13" spans="1:16" ht="12.75">
      <c r="A13" s="326">
        <v>8</v>
      </c>
      <c r="B13" s="327" t="s">
        <v>63</v>
      </c>
      <c r="C13" s="29">
        <v>82</v>
      </c>
      <c r="D13" s="29">
        <v>37</v>
      </c>
      <c r="E13" s="29">
        <v>1009</v>
      </c>
      <c r="F13" s="29">
        <v>297</v>
      </c>
      <c r="G13" s="29">
        <v>0</v>
      </c>
      <c r="H13" s="29">
        <v>0</v>
      </c>
      <c r="I13" s="29">
        <v>537</v>
      </c>
      <c r="J13" s="29">
        <v>182</v>
      </c>
      <c r="K13" s="29">
        <v>0</v>
      </c>
      <c r="L13" s="29">
        <v>0</v>
      </c>
      <c r="M13" s="29">
        <v>55</v>
      </c>
      <c r="N13" s="29">
        <v>938</v>
      </c>
      <c r="O13" s="29">
        <f t="shared" si="0"/>
        <v>1683</v>
      </c>
      <c r="P13" s="29">
        <f t="shared" si="1"/>
        <v>1454</v>
      </c>
    </row>
    <row r="14" spans="1:16" ht="12.75">
      <c r="A14" s="326">
        <v>9</v>
      </c>
      <c r="B14" s="327" t="s">
        <v>50</v>
      </c>
      <c r="C14" s="29">
        <v>71</v>
      </c>
      <c r="D14" s="29">
        <v>155</v>
      </c>
      <c r="E14" s="29">
        <v>148</v>
      </c>
      <c r="F14" s="29">
        <v>420</v>
      </c>
      <c r="G14" s="29">
        <v>28</v>
      </c>
      <c r="H14" s="29">
        <v>30</v>
      </c>
      <c r="I14" s="29">
        <v>91</v>
      </c>
      <c r="J14" s="29">
        <v>41</v>
      </c>
      <c r="K14" s="29">
        <v>0</v>
      </c>
      <c r="L14" s="29">
        <v>0</v>
      </c>
      <c r="M14" s="29">
        <v>206</v>
      </c>
      <c r="N14" s="29">
        <v>997</v>
      </c>
      <c r="O14" s="29">
        <f t="shared" si="0"/>
        <v>544</v>
      </c>
      <c r="P14" s="29">
        <f t="shared" si="1"/>
        <v>1643</v>
      </c>
    </row>
    <row r="15" spans="1:16" ht="12.75">
      <c r="A15" s="326">
        <v>10</v>
      </c>
      <c r="B15" s="327" t="s">
        <v>51</v>
      </c>
      <c r="C15" s="29">
        <v>2</v>
      </c>
      <c r="D15" s="29">
        <v>2.91</v>
      </c>
      <c r="E15" s="29">
        <v>47</v>
      </c>
      <c r="F15" s="29">
        <v>101.6</v>
      </c>
      <c r="G15" s="29">
        <v>0</v>
      </c>
      <c r="H15" s="29">
        <v>0</v>
      </c>
      <c r="I15" s="29">
        <v>4</v>
      </c>
      <c r="J15" s="29">
        <v>2.15</v>
      </c>
      <c r="K15" s="29">
        <v>0</v>
      </c>
      <c r="L15" s="29">
        <v>0</v>
      </c>
      <c r="M15" s="29">
        <v>14</v>
      </c>
      <c r="N15" s="29">
        <v>24.21</v>
      </c>
      <c r="O15" s="29">
        <f t="shared" si="0"/>
        <v>67</v>
      </c>
      <c r="P15" s="29">
        <f t="shared" si="1"/>
        <v>130.87</v>
      </c>
    </row>
    <row r="16" spans="1:16" ht="12.75">
      <c r="A16" s="326">
        <v>11</v>
      </c>
      <c r="B16" s="327" t="s">
        <v>290</v>
      </c>
      <c r="C16" s="29">
        <v>1</v>
      </c>
      <c r="D16" s="29">
        <v>4</v>
      </c>
      <c r="E16" s="29">
        <v>48</v>
      </c>
      <c r="F16" s="29">
        <v>235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12</v>
      </c>
      <c r="N16" s="29">
        <v>67</v>
      </c>
      <c r="O16" s="29">
        <f t="shared" si="0"/>
        <v>61</v>
      </c>
      <c r="P16" s="29">
        <f t="shared" si="1"/>
        <v>306</v>
      </c>
    </row>
    <row r="17" spans="1:16" ht="12.75">
      <c r="A17" s="326">
        <v>12</v>
      </c>
      <c r="B17" s="327" t="s">
        <v>64</v>
      </c>
      <c r="C17" s="29">
        <v>25</v>
      </c>
      <c r="D17" s="29">
        <v>10</v>
      </c>
      <c r="E17" s="29">
        <v>40</v>
      </c>
      <c r="F17" s="29">
        <v>42</v>
      </c>
      <c r="G17" s="29">
        <v>0</v>
      </c>
      <c r="H17" s="29">
        <v>0</v>
      </c>
      <c r="I17" s="29">
        <v>32</v>
      </c>
      <c r="J17" s="29">
        <v>24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97</v>
      </c>
      <c r="P17" s="29">
        <f t="shared" si="1"/>
        <v>76</v>
      </c>
    </row>
    <row r="18" spans="1:16" ht="12.75">
      <c r="A18" s="326">
        <v>13</v>
      </c>
      <c r="B18" s="327" t="s">
        <v>65</v>
      </c>
      <c r="C18" s="29">
        <v>0</v>
      </c>
      <c r="D18" s="29">
        <v>0</v>
      </c>
      <c r="E18" s="29">
        <v>5</v>
      </c>
      <c r="F18" s="29">
        <v>23</v>
      </c>
      <c r="G18" s="29">
        <v>0</v>
      </c>
      <c r="H18" s="29">
        <v>0</v>
      </c>
      <c r="I18" s="29">
        <v>1</v>
      </c>
      <c r="J18" s="29">
        <v>9</v>
      </c>
      <c r="K18" s="29">
        <v>0</v>
      </c>
      <c r="L18" s="29">
        <v>0</v>
      </c>
      <c r="M18" s="29">
        <v>12</v>
      </c>
      <c r="N18" s="29">
        <v>119</v>
      </c>
      <c r="O18" s="29">
        <f t="shared" si="0"/>
        <v>18</v>
      </c>
      <c r="P18" s="29">
        <f t="shared" si="1"/>
        <v>151</v>
      </c>
    </row>
    <row r="19" spans="1:16" ht="12.75">
      <c r="A19" s="326">
        <v>14</v>
      </c>
      <c r="B19" s="316" t="s">
        <v>291</v>
      </c>
      <c r="C19" s="29">
        <v>2</v>
      </c>
      <c r="D19" s="29">
        <v>4.67</v>
      </c>
      <c r="E19" s="29">
        <v>74</v>
      </c>
      <c r="F19" s="29">
        <v>102.25</v>
      </c>
      <c r="G19" s="29">
        <v>1</v>
      </c>
      <c r="H19" s="29">
        <v>5.02</v>
      </c>
      <c r="I19" s="29">
        <v>7</v>
      </c>
      <c r="J19" s="29">
        <v>20.59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84</v>
      </c>
      <c r="P19" s="29">
        <f t="shared" si="1"/>
        <v>132.53</v>
      </c>
    </row>
    <row r="20" spans="1:16" ht="12.75">
      <c r="A20" s="326">
        <v>15</v>
      </c>
      <c r="B20" s="327" t="s">
        <v>292</v>
      </c>
      <c r="C20" s="29">
        <v>0</v>
      </c>
      <c r="D20" s="29">
        <v>0</v>
      </c>
      <c r="E20" s="29">
        <v>5</v>
      </c>
      <c r="F20" s="29">
        <v>45</v>
      </c>
      <c r="G20" s="29">
        <v>0</v>
      </c>
      <c r="H20" s="29">
        <v>0</v>
      </c>
      <c r="I20" s="29">
        <v>15</v>
      </c>
      <c r="J20" s="29">
        <v>90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20</v>
      </c>
      <c r="P20" s="29">
        <f t="shared" si="1"/>
        <v>135</v>
      </c>
    </row>
    <row r="21" spans="1:16" ht="12.75">
      <c r="A21" s="326">
        <v>16</v>
      </c>
      <c r="B21" s="327" t="s">
        <v>66</v>
      </c>
      <c r="C21" s="29">
        <v>132</v>
      </c>
      <c r="D21" s="29">
        <v>505</v>
      </c>
      <c r="E21" s="29">
        <v>1738</v>
      </c>
      <c r="F21" s="29">
        <v>6982</v>
      </c>
      <c r="G21" s="29">
        <v>9</v>
      </c>
      <c r="H21" s="29">
        <v>17</v>
      </c>
      <c r="I21" s="29">
        <v>238</v>
      </c>
      <c r="J21" s="29">
        <v>4256</v>
      </c>
      <c r="K21" s="29">
        <v>2</v>
      </c>
      <c r="L21" s="29">
        <v>2</v>
      </c>
      <c r="M21" s="29">
        <v>429</v>
      </c>
      <c r="N21" s="29">
        <v>4347</v>
      </c>
      <c r="O21" s="29">
        <f t="shared" si="0"/>
        <v>2548</v>
      </c>
      <c r="P21" s="29">
        <f t="shared" si="1"/>
        <v>16109</v>
      </c>
    </row>
    <row r="22" spans="1:16" ht="12.75">
      <c r="A22" s="326">
        <v>17</v>
      </c>
      <c r="B22" s="317" t="s">
        <v>67</v>
      </c>
      <c r="C22" s="29">
        <v>9</v>
      </c>
      <c r="D22" s="29">
        <v>11</v>
      </c>
      <c r="E22" s="29">
        <v>259</v>
      </c>
      <c r="F22" s="29">
        <v>704</v>
      </c>
      <c r="G22" s="29">
        <v>7</v>
      </c>
      <c r="H22" s="29">
        <v>38</v>
      </c>
      <c r="I22" s="29">
        <v>5</v>
      </c>
      <c r="J22" s="29">
        <v>33</v>
      </c>
      <c r="K22" s="29">
        <v>0</v>
      </c>
      <c r="L22" s="29">
        <v>0</v>
      </c>
      <c r="M22" s="29">
        <v>45</v>
      </c>
      <c r="N22" s="29">
        <v>182</v>
      </c>
      <c r="O22" s="29">
        <f t="shared" si="0"/>
        <v>325</v>
      </c>
      <c r="P22" s="29">
        <f t="shared" si="1"/>
        <v>968</v>
      </c>
    </row>
    <row r="23" spans="1:16" ht="12.75">
      <c r="A23" s="326">
        <v>18</v>
      </c>
      <c r="B23" s="318" t="s">
        <v>253</v>
      </c>
      <c r="C23" s="29">
        <v>2</v>
      </c>
      <c r="D23" s="29">
        <v>10</v>
      </c>
      <c r="E23" s="29">
        <v>25</v>
      </c>
      <c r="F23" s="29">
        <v>65</v>
      </c>
      <c r="G23" s="29">
        <v>0</v>
      </c>
      <c r="H23" s="29">
        <v>0</v>
      </c>
      <c r="I23" s="29">
        <v>10</v>
      </c>
      <c r="J23" s="29">
        <v>38</v>
      </c>
      <c r="K23" s="29">
        <v>0</v>
      </c>
      <c r="L23" s="29">
        <v>0</v>
      </c>
      <c r="M23" s="29">
        <v>25</v>
      </c>
      <c r="N23" s="29">
        <v>100</v>
      </c>
      <c r="O23" s="29">
        <f t="shared" si="0"/>
        <v>62</v>
      </c>
      <c r="P23" s="29">
        <f t="shared" si="1"/>
        <v>213</v>
      </c>
    </row>
    <row r="24" spans="1:16" ht="14.25" customHeight="1">
      <c r="A24" s="326">
        <v>19</v>
      </c>
      <c r="B24" s="319" t="s">
        <v>68</v>
      </c>
      <c r="C24" s="29">
        <v>51</v>
      </c>
      <c r="D24" s="29">
        <v>311.22</v>
      </c>
      <c r="E24" s="29">
        <v>542</v>
      </c>
      <c r="F24" s="29">
        <v>1575.97</v>
      </c>
      <c r="G24" s="29">
        <v>2</v>
      </c>
      <c r="H24" s="29">
        <v>1.937</v>
      </c>
      <c r="I24" s="29">
        <v>42</v>
      </c>
      <c r="J24" s="29">
        <v>385.77</v>
      </c>
      <c r="K24" s="29">
        <v>0</v>
      </c>
      <c r="L24" s="29">
        <v>0</v>
      </c>
      <c r="M24" s="29">
        <v>95</v>
      </c>
      <c r="N24" s="29">
        <v>1005.15</v>
      </c>
      <c r="O24" s="29">
        <f t="shared" si="0"/>
        <v>732</v>
      </c>
      <c r="P24" s="29">
        <f t="shared" si="1"/>
        <v>3280.047</v>
      </c>
    </row>
    <row r="25" spans="1:16" ht="12.75">
      <c r="A25" s="326">
        <v>20</v>
      </c>
      <c r="B25" s="327" t="s">
        <v>69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0</v>
      </c>
      <c r="P25" s="29">
        <f t="shared" si="1"/>
        <v>0</v>
      </c>
    </row>
    <row r="26" spans="1:16" ht="12.75">
      <c r="A26" s="326">
        <v>21</v>
      </c>
      <c r="B26" s="327" t="s">
        <v>52</v>
      </c>
      <c r="C26" s="29">
        <v>9</v>
      </c>
      <c r="D26" s="29">
        <v>61.25</v>
      </c>
      <c r="E26" s="29">
        <v>60</v>
      </c>
      <c r="F26" s="29">
        <v>83.96</v>
      </c>
      <c r="G26" s="29">
        <v>1</v>
      </c>
      <c r="H26" s="29">
        <v>0.51</v>
      </c>
      <c r="I26" s="29">
        <v>17</v>
      </c>
      <c r="J26" s="29">
        <v>1382.94</v>
      </c>
      <c r="K26" s="29">
        <v>0</v>
      </c>
      <c r="L26" s="29">
        <v>0</v>
      </c>
      <c r="M26" s="29">
        <v>1802</v>
      </c>
      <c r="N26" s="29">
        <v>3509.21</v>
      </c>
      <c r="O26" s="29">
        <f t="shared" si="0"/>
        <v>1889</v>
      </c>
      <c r="P26" s="29">
        <f t="shared" si="1"/>
        <v>5037.87</v>
      </c>
    </row>
    <row r="27" spans="1:16" ht="12.75">
      <c r="A27" s="329"/>
      <c r="B27" s="330" t="s">
        <v>293</v>
      </c>
      <c r="C27" s="271">
        <f>SUM(C6:C26)</f>
        <v>1461</v>
      </c>
      <c r="D27" s="271">
        <f aca="true" t="shared" si="2" ref="D27:P27">SUM(D6:D26)</f>
        <v>3965.3993382999997</v>
      </c>
      <c r="E27" s="271">
        <f t="shared" si="2"/>
        <v>11823</v>
      </c>
      <c r="F27" s="271">
        <f t="shared" si="2"/>
        <v>30039.045893699997</v>
      </c>
      <c r="G27" s="271">
        <f t="shared" si="2"/>
        <v>83</v>
      </c>
      <c r="H27" s="271">
        <f t="shared" si="2"/>
        <v>235.3848154</v>
      </c>
      <c r="I27" s="271">
        <f t="shared" si="2"/>
        <v>1823</v>
      </c>
      <c r="J27" s="271">
        <f t="shared" si="2"/>
        <v>32809.9023776</v>
      </c>
      <c r="K27" s="271">
        <f t="shared" si="2"/>
        <v>6</v>
      </c>
      <c r="L27" s="271">
        <f t="shared" si="2"/>
        <v>16.26906</v>
      </c>
      <c r="M27" s="271">
        <f t="shared" si="2"/>
        <v>3845</v>
      </c>
      <c r="N27" s="271">
        <f t="shared" si="2"/>
        <v>39576.415014</v>
      </c>
      <c r="O27" s="271">
        <f t="shared" si="2"/>
        <v>19041</v>
      </c>
      <c r="P27" s="271">
        <f t="shared" si="2"/>
        <v>106642.41649899997</v>
      </c>
    </row>
    <row r="28" spans="1:16" ht="12.75">
      <c r="A28" s="326">
        <v>22</v>
      </c>
      <c r="B28" s="327" t="s">
        <v>294</v>
      </c>
      <c r="C28" s="29">
        <v>2</v>
      </c>
      <c r="D28" s="29">
        <v>46.25</v>
      </c>
      <c r="E28" s="29">
        <v>30</v>
      </c>
      <c r="F28" s="29">
        <v>322.07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13</v>
      </c>
      <c r="N28" s="29">
        <v>63.72</v>
      </c>
      <c r="O28" s="29">
        <f t="shared" si="0"/>
        <v>45</v>
      </c>
      <c r="P28" s="29">
        <f t="shared" si="1"/>
        <v>432.03999999999996</v>
      </c>
    </row>
    <row r="29" spans="1:16" ht="12.75">
      <c r="A29" s="326">
        <v>23</v>
      </c>
      <c r="B29" s="327" t="s">
        <v>295</v>
      </c>
      <c r="C29" s="29">
        <v>0</v>
      </c>
      <c r="D29" s="29">
        <v>0</v>
      </c>
      <c r="E29" s="29">
        <v>8</v>
      </c>
      <c r="F29" s="29">
        <v>57.31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8</v>
      </c>
      <c r="P29" s="29">
        <f t="shared" si="1"/>
        <v>57.31</v>
      </c>
    </row>
    <row r="30" spans="1:16" ht="12.75">
      <c r="A30" s="326">
        <v>24</v>
      </c>
      <c r="B30" s="327" t="s">
        <v>296</v>
      </c>
      <c r="C30" s="29">
        <v>0</v>
      </c>
      <c r="D30" s="29">
        <v>0</v>
      </c>
      <c r="E30" s="29">
        <v>2</v>
      </c>
      <c r="F30" s="29">
        <v>3.6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1</v>
      </c>
      <c r="N30" s="29">
        <v>6.6</v>
      </c>
      <c r="O30" s="29">
        <f t="shared" si="0"/>
        <v>3</v>
      </c>
      <c r="P30" s="29">
        <f t="shared" si="1"/>
        <v>10.2</v>
      </c>
    </row>
    <row r="31" spans="1:16" ht="14.25" customHeight="1">
      <c r="A31" s="326">
        <v>25</v>
      </c>
      <c r="B31" s="328" t="s">
        <v>297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f t="shared" si="0"/>
        <v>0</v>
      </c>
      <c r="P31" s="29">
        <f t="shared" si="1"/>
        <v>0</v>
      </c>
    </row>
    <row r="32" spans="1:16" ht="12.75">
      <c r="A32" s="326">
        <v>26</v>
      </c>
      <c r="B32" s="327" t="s">
        <v>298</v>
      </c>
      <c r="C32" s="29">
        <v>52</v>
      </c>
      <c r="D32" s="29">
        <v>309.6</v>
      </c>
      <c r="E32" s="29">
        <v>357</v>
      </c>
      <c r="F32" s="29">
        <v>921</v>
      </c>
      <c r="G32" s="29">
        <v>0</v>
      </c>
      <c r="H32" s="29">
        <v>0</v>
      </c>
      <c r="I32" s="29">
        <v>33</v>
      </c>
      <c r="J32" s="29">
        <v>132</v>
      </c>
      <c r="K32" s="29">
        <v>0</v>
      </c>
      <c r="L32" s="29">
        <v>0</v>
      </c>
      <c r="M32" s="29">
        <v>380</v>
      </c>
      <c r="N32" s="29">
        <v>2944</v>
      </c>
      <c r="O32" s="29">
        <f t="shared" si="0"/>
        <v>822</v>
      </c>
      <c r="P32" s="29">
        <f t="shared" si="1"/>
        <v>4306.6</v>
      </c>
    </row>
    <row r="33" spans="1:16" ht="12.75">
      <c r="A33" s="326">
        <v>27</v>
      </c>
      <c r="B33" s="327" t="s">
        <v>72</v>
      </c>
      <c r="C33" s="29">
        <v>87</v>
      </c>
      <c r="D33" s="29">
        <v>0.5</v>
      </c>
      <c r="E33" s="29">
        <v>99</v>
      </c>
      <c r="F33" s="29">
        <v>0.67</v>
      </c>
      <c r="G33" s="29">
        <v>66</v>
      </c>
      <c r="H33" s="29">
        <v>0.45</v>
      </c>
      <c r="I33" s="29">
        <v>112</v>
      </c>
      <c r="J33" s="29">
        <v>0.25</v>
      </c>
      <c r="K33" s="29">
        <v>0</v>
      </c>
      <c r="L33" s="29">
        <v>0</v>
      </c>
      <c r="M33" s="29">
        <v>87</v>
      </c>
      <c r="N33" s="29">
        <v>0.55</v>
      </c>
      <c r="O33" s="29">
        <f t="shared" si="0"/>
        <v>451</v>
      </c>
      <c r="P33" s="29">
        <f t="shared" si="1"/>
        <v>2.42</v>
      </c>
    </row>
    <row r="34" spans="1:16" ht="12.75">
      <c r="A34" s="329"/>
      <c r="B34" s="330" t="s">
        <v>299</v>
      </c>
      <c r="C34" s="271">
        <f>SUM(C28:C33)</f>
        <v>141</v>
      </c>
      <c r="D34" s="271">
        <f aca="true" t="shared" si="3" ref="D34:P34">SUM(D28:D33)</f>
        <v>356.35</v>
      </c>
      <c r="E34" s="271">
        <f t="shared" si="3"/>
        <v>496</v>
      </c>
      <c r="F34" s="271">
        <f t="shared" si="3"/>
        <v>1304.65</v>
      </c>
      <c r="G34" s="271">
        <f t="shared" si="3"/>
        <v>66</v>
      </c>
      <c r="H34" s="271">
        <f t="shared" si="3"/>
        <v>0.45</v>
      </c>
      <c r="I34" s="271">
        <f t="shared" si="3"/>
        <v>145</v>
      </c>
      <c r="J34" s="271">
        <f t="shared" si="3"/>
        <v>132.25</v>
      </c>
      <c r="K34" s="271">
        <f t="shared" si="3"/>
        <v>0</v>
      </c>
      <c r="L34" s="271">
        <f t="shared" si="3"/>
        <v>0</v>
      </c>
      <c r="M34" s="271">
        <f t="shared" si="3"/>
        <v>481</v>
      </c>
      <c r="N34" s="271">
        <f t="shared" si="3"/>
        <v>3014.8700000000003</v>
      </c>
      <c r="O34" s="271">
        <f t="shared" si="3"/>
        <v>1329</v>
      </c>
      <c r="P34" s="271">
        <f t="shared" si="3"/>
        <v>4808.570000000001</v>
      </c>
    </row>
    <row r="35" spans="1:16" ht="12.75">
      <c r="A35" s="326">
        <v>28</v>
      </c>
      <c r="B35" s="331" t="s">
        <v>49</v>
      </c>
      <c r="C35" s="332">
        <v>6</v>
      </c>
      <c r="D35" s="29">
        <v>100.62</v>
      </c>
      <c r="E35" s="29">
        <v>230</v>
      </c>
      <c r="F35" s="29">
        <v>1011.98</v>
      </c>
      <c r="G35" s="29">
        <v>0</v>
      </c>
      <c r="H35" s="29">
        <v>0</v>
      </c>
      <c r="I35" s="29">
        <v>81</v>
      </c>
      <c r="J35" s="29">
        <v>917.69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317</v>
      </c>
      <c r="P35" s="29">
        <f t="shared" si="1"/>
        <v>2030.29</v>
      </c>
    </row>
    <row r="36" spans="1:16" ht="12.75">
      <c r="A36" s="326">
        <v>29</v>
      </c>
      <c r="B36" s="331" t="s">
        <v>53</v>
      </c>
      <c r="C36" s="33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0</v>
      </c>
      <c r="P36" s="29">
        <f t="shared" si="1"/>
        <v>0</v>
      </c>
    </row>
    <row r="37" spans="1:16" ht="12.75">
      <c r="A37" s="326">
        <v>30</v>
      </c>
      <c r="B37" s="331" t="s">
        <v>300</v>
      </c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29">
        <f t="shared" si="0"/>
        <v>0</v>
      </c>
      <c r="P37" s="29">
        <f t="shared" si="1"/>
        <v>0</v>
      </c>
    </row>
    <row r="38" spans="1:16" ht="12.75">
      <c r="A38" s="326">
        <v>31</v>
      </c>
      <c r="B38" s="327" t="s">
        <v>301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0</v>
      </c>
      <c r="P38" s="29">
        <f t="shared" si="1"/>
        <v>0</v>
      </c>
    </row>
    <row r="39" spans="1:16" ht="12.75">
      <c r="A39" s="326">
        <v>32</v>
      </c>
      <c r="B39" s="327" t="s">
        <v>302</v>
      </c>
      <c r="C39" s="29">
        <v>25</v>
      </c>
      <c r="D39" s="29">
        <v>144.32</v>
      </c>
      <c r="E39" s="29">
        <v>45</v>
      </c>
      <c r="F39" s="29">
        <v>83.07</v>
      </c>
      <c r="G39" s="29">
        <v>0</v>
      </c>
      <c r="H39" s="29">
        <v>0</v>
      </c>
      <c r="I39" s="29">
        <v>14</v>
      </c>
      <c r="J39" s="29">
        <v>40.26</v>
      </c>
      <c r="K39" s="29">
        <v>2</v>
      </c>
      <c r="L39" s="29">
        <v>5.95</v>
      </c>
      <c r="M39" s="29">
        <v>0</v>
      </c>
      <c r="N39" s="29">
        <v>0</v>
      </c>
      <c r="O39" s="29">
        <f t="shared" si="0"/>
        <v>86</v>
      </c>
      <c r="P39" s="29">
        <f t="shared" si="1"/>
        <v>273.59999999999997</v>
      </c>
    </row>
    <row r="40" spans="1:16" ht="12.75">
      <c r="A40" s="326">
        <v>33</v>
      </c>
      <c r="B40" s="327" t="s">
        <v>303</v>
      </c>
      <c r="C40" s="29">
        <v>24</v>
      </c>
      <c r="D40" s="29">
        <v>25.56938</v>
      </c>
      <c r="E40" s="29">
        <v>1937</v>
      </c>
      <c r="F40" s="29">
        <v>1326.8847800000008</v>
      </c>
      <c r="G40" s="29">
        <v>2</v>
      </c>
      <c r="H40" s="29">
        <v>0.4032</v>
      </c>
      <c r="I40" s="29">
        <v>85</v>
      </c>
      <c r="J40" s="29">
        <v>530.4348000000001</v>
      </c>
      <c r="K40" s="29">
        <v>0</v>
      </c>
      <c r="L40" s="29">
        <v>0</v>
      </c>
      <c r="M40" s="29">
        <v>28</v>
      </c>
      <c r="N40" s="29">
        <v>85.21095000000001</v>
      </c>
      <c r="O40" s="29">
        <f t="shared" si="0"/>
        <v>2076</v>
      </c>
      <c r="P40" s="29">
        <f t="shared" si="1"/>
        <v>1968.5031100000008</v>
      </c>
    </row>
    <row r="41" spans="1:16" ht="12.75">
      <c r="A41" s="326">
        <v>34</v>
      </c>
      <c r="B41" s="327" t="s">
        <v>304</v>
      </c>
      <c r="C41" s="29">
        <v>38</v>
      </c>
      <c r="D41" s="29">
        <v>70.4562433</v>
      </c>
      <c r="E41" s="29">
        <v>1142</v>
      </c>
      <c r="F41" s="29">
        <v>2219.5397371</v>
      </c>
      <c r="G41" s="29">
        <v>7</v>
      </c>
      <c r="H41" s="29">
        <v>30.3650724</v>
      </c>
      <c r="I41" s="29">
        <v>138</v>
      </c>
      <c r="J41" s="29">
        <v>748.242754</v>
      </c>
      <c r="K41" s="29">
        <v>126</v>
      </c>
      <c r="L41" s="29">
        <v>97.2154432</v>
      </c>
      <c r="M41" s="29">
        <v>40</v>
      </c>
      <c r="N41" s="29">
        <v>390.7727343</v>
      </c>
      <c r="O41" s="29">
        <f t="shared" si="0"/>
        <v>1491</v>
      </c>
      <c r="P41" s="29">
        <f t="shared" si="1"/>
        <v>3556.5919843</v>
      </c>
    </row>
    <row r="42" spans="1:16" ht="12.75">
      <c r="A42" s="326">
        <v>35</v>
      </c>
      <c r="B42" s="327" t="s">
        <v>305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>
        <f t="shared" si="0"/>
        <v>0</v>
      </c>
      <c r="P42" s="29">
        <f t="shared" si="1"/>
        <v>0</v>
      </c>
    </row>
    <row r="43" spans="1:16" ht="12.75">
      <c r="A43" s="326">
        <v>36</v>
      </c>
      <c r="B43" s="327" t="s">
        <v>255</v>
      </c>
      <c r="C43" s="29">
        <v>0</v>
      </c>
      <c r="D43" s="29">
        <v>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>
        <f t="shared" si="0"/>
        <v>0</v>
      </c>
      <c r="P43" s="29">
        <f t="shared" si="1"/>
        <v>0</v>
      </c>
    </row>
    <row r="44" spans="1:16" ht="12.75">
      <c r="A44" s="326">
        <v>37</v>
      </c>
      <c r="B44" s="327" t="s">
        <v>306</v>
      </c>
      <c r="C44" s="29">
        <v>0</v>
      </c>
      <c r="D44" s="29">
        <v>0</v>
      </c>
      <c r="E44" s="29">
        <v>4</v>
      </c>
      <c r="F44" s="29">
        <v>25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1</v>
      </c>
      <c r="N44" s="29">
        <v>2</v>
      </c>
      <c r="O44" s="29">
        <f t="shared" si="0"/>
        <v>5</v>
      </c>
      <c r="P44" s="29">
        <f t="shared" si="1"/>
        <v>27</v>
      </c>
    </row>
    <row r="45" spans="1:16" ht="12.75">
      <c r="A45" s="326">
        <v>38</v>
      </c>
      <c r="B45" s="327" t="s">
        <v>307</v>
      </c>
      <c r="C45" s="29">
        <v>1</v>
      </c>
      <c r="D45" s="29">
        <v>26</v>
      </c>
      <c r="E45" s="29">
        <v>3</v>
      </c>
      <c r="F45" s="29">
        <v>10.4</v>
      </c>
      <c r="G45" s="29"/>
      <c r="H45" s="29"/>
      <c r="I45" s="29"/>
      <c r="J45" s="29"/>
      <c r="K45" s="29"/>
      <c r="L45" s="29"/>
      <c r="M45" s="29">
        <v>1</v>
      </c>
      <c r="N45" s="29">
        <v>1.15</v>
      </c>
      <c r="O45" s="29">
        <f t="shared" si="0"/>
        <v>5</v>
      </c>
      <c r="P45" s="29">
        <f t="shared" si="1"/>
        <v>37.55</v>
      </c>
    </row>
    <row r="46" spans="1:16" ht="12.75">
      <c r="A46" s="326">
        <v>39</v>
      </c>
      <c r="B46" s="327" t="s">
        <v>95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0</v>
      </c>
      <c r="P46" s="29">
        <f t="shared" si="1"/>
        <v>0</v>
      </c>
    </row>
    <row r="47" spans="1:16" ht="12.75">
      <c r="A47" s="326">
        <v>40</v>
      </c>
      <c r="B47" s="327" t="s">
        <v>308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>
        <f t="shared" si="0"/>
        <v>0</v>
      </c>
      <c r="P47" s="29">
        <f t="shared" si="1"/>
        <v>0</v>
      </c>
    </row>
    <row r="48" spans="1:16" ht="12.75">
      <c r="A48" s="326">
        <v>41</v>
      </c>
      <c r="B48" s="327" t="s">
        <v>309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0</v>
      </c>
      <c r="P48" s="29">
        <f t="shared" si="1"/>
        <v>0</v>
      </c>
    </row>
    <row r="49" spans="1:16" ht="12.75">
      <c r="A49" s="326">
        <v>42</v>
      </c>
      <c r="B49" s="334" t="s">
        <v>310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 t="shared" si="0"/>
        <v>0</v>
      </c>
      <c r="P49" s="29">
        <f t="shared" si="1"/>
        <v>0</v>
      </c>
    </row>
    <row r="50" spans="1:16" ht="12.75">
      <c r="A50" s="326">
        <v>43</v>
      </c>
      <c r="B50" s="327" t="s">
        <v>311</v>
      </c>
      <c r="C50" s="29">
        <v>3</v>
      </c>
      <c r="D50" s="29">
        <v>0.74</v>
      </c>
      <c r="E50" s="29">
        <v>733</v>
      </c>
      <c r="F50" s="29">
        <v>168.1799999999999</v>
      </c>
      <c r="G50" s="29">
        <v>3</v>
      </c>
      <c r="H50" s="29">
        <v>0.6599999999999999</v>
      </c>
      <c r="I50" s="29"/>
      <c r="J50" s="29"/>
      <c r="K50" s="29"/>
      <c r="L50" s="29"/>
      <c r="M50" s="29"/>
      <c r="N50" s="29"/>
      <c r="O50" s="29">
        <f t="shared" si="0"/>
        <v>739</v>
      </c>
      <c r="P50" s="29">
        <f t="shared" si="1"/>
        <v>169.5799999999999</v>
      </c>
    </row>
    <row r="51" spans="1:16" ht="12.75">
      <c r="A51" s="326">
        <v>44</v>
      </c>
      <c r="B51" s="327" t="s">
        <v>78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>
        <f t="shared" si="0"/>
        <v>0</v>
      </c>
      <c r="P51" s="29">
        <f t="shared" si="1"/>
        <v>0</v>
      </c>
    </row>
    <row r="52" spans="1:16" ht="12.75">
      <c r="A52" s="335"/>
      <c r="B52" s="330" t="s">
        <v>274</v>
      </c>
      <c r="C52" s="271">
        <f>SUM(C35:C51)</f>
        <v>97</v>
      </c>
      <c r="D52" s="271">
        <f aca="true" t="shared" si="4" ref="D52:P52">SUM(D35:D51)</f>
        <v>367.7056233</v>
      </c>
      <c r="E52" s="271">
        <f t="shared" si="4"/>
        <v>4094</v>
      </c>
      <c r="F52" s="271">
        <f t="shared" si="4"/>
        <v>4845.0545171</v>
      </c>
      <c r="G52" s="271">
        <f t="shared" si="4"/>
        <v>12</v>
      </c>
      <c r="H52" s="271">
        <f t="shared" si="4"/>
        <v>31.4282724</v>
      </c>
      <c r="I52" s="271">
        <f t="shared" si="4"/>
        <v>318</v>
      </c>
      <c r="J52" s="271">
        <f t="shared" si="4"/>
        <v>2236.627554</v>
      </c>
      <c r="K52" s="271">
        <f t="shared" si="4"/>
        <v>128</v>
      </c>
      <c r="L52" s="271">
        <f t="shared" si="4"/>
        <v>103.1654432</v>
      </c>
      <c r="M52" s="271">
        <f t="shared" si="4"/>
        <v>70</v>
      </c>
      <c r="N52" s="271">
        <f t="shared" si="4"/>
        <v>479.1336843</v>
      </c>
      <c r="O52" s="271">
        <f t="shared" si="4"/>
        <v>4719</v>
      </c>
      <c r="P52" s="271">
        <f t="shared" si="4"/>
        <v>8063.115094300001</v>
      </c>
    </row>
    <row r="53" spans="1:16" ht="12.75">
      <c r="A53" s="326">
        <v>45</v>
      </c>
      <c r="B53" s="327" t="s">
        <v>48</v>
      </c>
      <c r="C53" s="29">
        <v>68</v>
      </c>
      <c r="D53" s="29">
        <v>64</v>
      </c>
      <c r="E53" s="29">
        <v>212</v>
      </c>
      <c r="F53" s="29">
        <v>277</v>
      </c>
      <c r="G53" s="29">
        <v>62</v>
      </c>
      <c r="H53" s="29">
        <v>47</v>
      </c>
      <c r="I53" s="29">
        <v>17</v>
      </c>
      <c r="J53" s="29">
        <v>17</v>
      </c>
      <c r="K53" s="29">
        <v>0</v>
      </c>
      <c r="L53" s="29">
        <v>0</v>
      </c>
      <c r="M53" s="29">
        <v>57</v>
      </c>
      <c r="N53" s="29">
        <v>51</v>
      </c>
      <c r="O53" s="29">
        <f t="shared" si="0"/>
        <v>416</v>
      </c>
      <c r="P53" s="29">
        <f t="shared" si="1"/>
        <v>456</v>
      </c>
    </row>
    <row r="54" spans="1:16" ht="12.75">
      <c r="A54" s="326">
        <v>46</v>
      </c>
      <c r="B54" s="327" t="s">
        <v>269</v>
      </c>
      <c r="C54" s="29">
        <v>0</v>
      </c>
      <c r="D54" s="29">
        <v>0</v>
      </c>
      <c r="E54" s="29">
        <v>104</v>
      </c>
      <c r="F54" s="29">
        <v>29</v>
      </c>
      <c r="G54" s="29">
        <v>0</v>
      </c>
      <c r="H54" s="29">
        <v>0</v>
      </c>
      <c r="I54" s="29">
        <v>13</v>
      </c>
      <c r="J54" s="29">
        <v>5</v>
      </c>
      <c r="K54" s="29">
        <v>0</v>
      </c>
      <c r="L54" s="29">
        <v>0</v>
      </c>
      <c r="M54" s="29">
        <v>818</v>
      </c>
      <c r="N54" s="29">
        <v>244</v>
      </c>
      <c r="O54" s="29">
        <f t="shared" si="0"/>
        <v>935</v>
      </c>
      <c r="P54" s="29">
        <f t="shared" si="1"/>
        <v>278</v>
      </c>
    </row>
    <row r="55" spans="1:16" ht="12.75">
      <c r="A55" s="326">
        <v>47</v>
      </c>
      <c r="B55" s="327" t="s">
        <v>54</v>
      </c>
      <c r="C55" s="29">
        <v>0</v>
      </c>
      <c r="D55" s="29">
        <v>0</v>
      </c>
      <c r="E55" s="29">
        <v>19</v>
      </c>
      <c r="F55" s="29">
        <v>13.49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15</v>
      </c>
      <c r="N55" s="29">
        <v>10.21</v>
      </c>
      <c r="O55" s="29">
        <f t="shared" si="0"/>
        <v>34</v>
      </c>
      <c r="P55" s="29">
        <f t="shared" si="1"/>
        <v>23.700000000000003</v>
      </c>
    </row>
    <row r="56" spans="1:16" ht="12.75">
      <c r="A56" s="335"/>
      <c r="B56" s="330" t="s">
        <v>270</v>
      </c>
      <c r="C56" s="271">
        <f>SUM(C53:C55)</f>
        <v>68</v>
      </c>
      <c r="D56" s="271">
        <f aca="true" t="shared" si="5" ref="D56:P56">SUM(D53:D55)</f>
        <v>64</v>
      </c>
      <c r="E56" s="271">
        <f t="shared" si="5"/>
        <v>335</v>
      </c>
      <c r="F56" s="271">
        <f t="shared" si="5"/>
        <v>319.49</v>
      </c>
      <c r="G56" s="271">
        <f t="shared" si="5"/>
        <v>62</v>
      </c>
      <c r="H56" s="271">
        <f t="shared" si="5"/>
        <v>47</v>
      </c>
      <c r="I56" s="271">
        <f t="shared" si="5"/>
        <v>30</v>
      </c>
      <c r="J56" s="271">
        <f t="shared" si="5"/>
        <v>22</v>
      </c>
      <c r="K56" s="271">
        <f t="shared" si="5"/>
        <v>0</v>
      </c>
      <c r="L56" s="271">
        <f t="shared" si="5"/>
        <v>0</v>
      </c>
      <c r="M56" s="271">
        <f t="shared" si="5"/>
        <v>890</v>
      </c>
      <c r="N56" s="271">
        <f t="shared" si="5"/>
        <v>305.21</v>
      </c>
      <c r="O56" s="271">
        <f t="shared" si="5"/>
        <v>1385</v>
      </c>
      <c r="P56" s="271">
        <f t="shared" si="5"/>
        <v>757.7</v>
      </c>
    </row>
    <row r="57" spans="1:16" ht="12.75">
      <c r="A57" s="326">
        <v>48</v>
      </c>
      <c r="B57" s="327" t="s">
        <v>312</v>
      </c>
      <c r="C57" s="29">
        <v>789</v>
      </c>
      <c r="D57" s="29">
        <v>160.43</v>
      </c>
      <c r="E57" s="29">
        <v>29201</v>
      </c>
      <c r="F57" s="29">
        <v>12673.97</v>
      </c>
      <c r="G57" s="29">
        <v>1416</v>
      </c>
      <c r="H57" s="29">
        <v>320.86</v>
      </c>
      <c r="I57" s="29">
        <v>1550</v>
      </c>
      <c r="J57" s="29">
        <v>802.15</v>
      </c>
      <c r="K57" s="29">
        <v>0</v>
      </c>
      <c r="L57" s="29">
        <v>0</v>
      </c>
      <c r="M57" s="29">
        <v>6314</v>
      </c>
      <c r="N57" s="29">
        <v>2085.59</v>
      </c>
      <c r="O57" s="29">
        <f t="shared" si="0"/>
        <v>39270</v>
      </c>
      <c r="P57" s="29">
        <f t="shared" si="1"/>
        <v>16043</v>
      </c>
    </row>
    <row r="58" spans="1:16" ht="12.75">
      <c r="A58" s="335"/>
      <c r="B58" s="330" t="s">
        <v>275</v>
      </c>
      <c r="C58" s="29">
        <f>C57</f>
        <v>789</v>
      </c>
      <c r="D58" s="29">
        <f aca="true" t="shared" si="6" ref="D58:P58">D57</f>
        <v>160.43</v>
      </c>
      <c r="E58" s="29">
        <f t="shared" si="6"/>
        <v>29201</v>
      </c>
      <c r="F58" s="29">
        <f t="shared" si="6"/>
        <v>12673.97</v>
      </c>
      <c r="G58" s="29">
        <f t="shared" si="6"/>
        <v>1416</v>
      </c>
      <c r="H58" s="29">
        <f t="shared" si="6"/>
        <v>320.86</v>
      </c>
      <c r="I58" s="29">
        <f t="shared" si="6"/>
        <v>1550</v>
      </c>
      <c r="J58" s="29">
        <f t="shared" si="6"/>
        <v>802.15</v>
      </c>
      <c r="K58" s="29">
        <f t="shared" si="6"/>
        <v>0</v>
      </c>
      <c r="L58" s="29">
        <f t="shared" si="6"/>
        <v>0</v>
      </c>
      <c r="M58" s="29">
        <f t="shared" si="6"/>
        <v>6314</v>
      </c>
      <c r="N58" s="29">
        <f t="shared" si="6"/>
        <v>2085.59</v>
      </c>
      <c r="O58" s="29">
        <f t="shared" si="6"/>
        <v>39270</v>
      </c>
      <c r="P58" s="29">
        <f t="shared" si="6"/>
        <v>16043</v>
      </c>
    </row>
    <row r="59" spans="1:16" ht="12.75">
      <c r="A59" s="335"/>
      <c r="B59" s="330" t="s">
        <v>276</v>
      </c>
      <c r="C59" s="271">
        <f>C58+C56+C52+C34+C27</f>
        <v>2556</v>
      </c>
      <c r="D59" s="271">
        <f aca="true" t="shared" si="7" ref="D59:P59">D58+D56+D52+D34+D27</f>
        <v>4913.8849616</v>
      </c>
      <c r="E59" s="271">
        <f t="shared" si="7"/>
        <v>45949</v>
      </c>
      <c r="F59" s="271">
        <f t="shared" si="7"/>
        <v>49182.2104108</v>
      </c>
      <c r="G59" s="271">
        <f t="shared" si="7"/>
        <v>1639</v>
      </c>
      <c r="H59" s="271">
        <f t="shared" si="7"/>
        <v>635.1230878</v>
      </c>
      <c r="I59" s="271">
        <f t="shared" si="7"/>
        <v>3866</v>
      </c>
      <c r="J59" s="271">
        <f t="shared" si="7"/>
        <v>36002.9299316</v>
      </c>
      <c r="K59" s="271">
        <f t="shared" si="7"/>
        <v>134</v>
      </c>
      <c r="L59" s="271">
        <f t="shared" si="7"/>
        <v>119.4345032</v>
      </c>
      <c r="M59" s="271">
        <f t="shared" si="7"/>
        <v>11600</v>
      </c>
      <c r="N59" s="271">
        <f t="shared" si="7"/>
        <v>45461.2186983</v>
      </c>
      <c r="O59" s="271">
        <f t="shared" si="7"/>
        <v>65744</v>
      </c>
      <c r="P59" s="271">
        <f t="shared" si="7"/>
        <v>136314.80159329996</v>
      </c>
    </row>
  </sheetData>
  <sheetProtection/>
  <mergeCells count="12"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  <mergeCell ref="K4:L4"/>
  </mergeCells>
  <conditionalFormatting sqref="M3">
    <cfRule type="cellIs" priority="7" dxfId="198" operator="lessThan">
      <formula>0</formula>
    </cfRule>
  </conditionalFormatting>
  <conditionalFormatting sqref="B6">
    <cfRule type="duplicateValues" priority="1" dxfId="197">
      <formula>AND(COUNTIF($B$6:$B$6,B6)&gt;1,NOT(ISBLANK(B6)))</formula>
    </cfRule>
  </conditionalFormatting>
  <conditionalFormatting sqref="B22">
    <cfRule type="duplicateValues" priority="2" dxfId="197">
      <formula>AND(COUNTIF($B$22:$B$22,B22)&gt;1,NOT(ISBLANK(B22)))</formula>
    </cfRule>
  </conditionalFormatting>
  <conditionalFormatting sqref="B33:B34 B26:B30">
    <cfRule type="duplicateValues" priority="3" dxfId="197">
      <formula>AND(COUNTIF($B$33:$B$34,B26)+COUNTIF($B$26:$B$30,B26)&gt;1,NOT(ISBLANK(B26)))</formula>
    </cfRule>
  </conditionalFormatting>
  <conditionalFormatting sqref="B52">
    <cfRule type="duplicateValues" priority="4" dxfId="197">
      <formula>AND(COUNTIF($B$52:$B$52,B52)&gt;1,NOT(ISBLANK(B52)))</formula>
    </cfRule>
  </conditionalFormatting>
  <conditionalFormatting sqref="B56">
    <cfRule type="duplicateValues" priority="5" dxfId="197">
      <formula>AND(COUNTIF($B$56:$B$56,B56)&gt;1,NOT(ISBLANK(B56)))</formula>
    </cfRule>
  </conditionalFormatting>
  <conditionalFormatting sqref="B58">
    <cfRule type="duplicateValues" priority="6" dxfId="197">
      <formula>AND(COUNTIF($B$58:$B$58,B58)&gt;1,NOT(ISBLANK(B58)))</formula>
    </cfRule>
  </conditionalFormatting>
  <printOptions/>
  <pageMargins left="0.7" right="0.7" top="0.75" bottom="0.75" header="0.3" footer="0.3"/>
  <pageSetup horizontalDpi="600" verticalDpi="600" orientation="portrait" paperSize="9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F60"/>
  <sheetViews>
    <sheetView view="pageBreakPreview" zoomScale="60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2" sqref="I12"/>
    </sheetView>
  </sheetViews>
  <sheetFormatPr defaultColWidth="9.140625" defaultRowHeight="12.75"/>
  <cols>
    <col min="1" max="1" width="9.140625" style="5" customWidth="1"/>
    <col min="2" max="2" width="24.421875" style="5" bestFit="1" customWidth="1"/>
    <col min="3" max="3" width="13.28125" style="5" customWidth="1"/>
    <col min="4" max="4" width="14.8515625" style="5" customWidth="1"/>
    <col min="5" max="5" width="13.421875" style="5" customWidth="1"/>
    <col min="6" max="6" width="14.57421875" style="6" customWidth="1"/>
    <col min="7" max="16384" width="9.140625" style="5" customWidth="1"/>
  </cols>
  <sheetData>
    <row r="1" spans="1:6" ht="15.75" customHeight="1">
      <c r="A1" s="625" t="s">
        <v>217</v>
      </c>
      <c r="B1" s="625"/>
      <c r="C1" s="625"/>
      <c r="D1" s="625"/>
      <c r="E1" s="625"/>
      <c r="F1" s="625"/>
    </row>
    <row r="2" spans="1:6" ht="14.25">
      <c r="A2" s="58"/>
      <c r="B2" s="58"/>
      <c r="C2" s="58"/>
      <c r="D2" s="58"/>
      <c r="E2" s="58"/>
      <c r="F2" s="297"/>
    </row>
    <row r="3" spans="1:6" ht="15" customHeight="1">
      <c r="A3" s="38"/>
      <c r="B3" s="666" t="s">
        <v>12</v>
      </c>
      <c r="C3" s="666"/>
      <c r="D3" s="666"/>
      <c r="F3" s="325" t="s">
        <v>220</v>
      </c>
    </row>
    <row r="4" spans="1:6" ht="14.25" customHeight="1">
      <c r="A4" s="650" t="s">
        <v>272</v>
      </c>
      <c r="B4" s="650" t="s">
        <v>3</v>
      </c>
      <c r="C4" s="667" t="s">
        <v>218</v>
      </c>
      <c r="D4" s="668"/>
      <c r="E4" s="618" t="s">
        <v>219</v>
      </c>
      <c r="F4" s="618"/>
    </row>
    <row r="5" spans="1:6" ht="13.5">
      <c r="A5" s="651"/>
      <c r="B5" s="653"/>
      <c r="C5" s="290" t="s">
        <v>30</v>
      </c>
      <c r="D5" s="321" t="s">
        <v>17</v>
      </c>
      <c r="E5" s="290" t="s">
        <v>30</v>
      </c>
      <c r="F5" s="290" t="s">
        <v>17</v>
      </c>
    </row>
    <row r="6" spans="1:6" ht="13.5">
      <c r="A6" s="79">
        <v>1</v>
      </c>
      <c r="B6" s="130" t="s">
        <v>57</v>
      </c>
      <c r="C6" s="277">
        <v>28652</v>
      </c>
      <c r="D6" s="277">
        <v>76518</v>
      </c>
      <c r="E6" s="277">
        <v>10813</v>
      </c>
      <c r="F6" s="277">
        <v>19130</v>
      </c>
    </row>
    <row r="7" spans="1:6" ht="13.5">
      <c r="A7" s="79">
        <v>2</v>
      </c>
      <c r="B7" s="130" t="s">
        <v>58</v>
      </c>
      <c r="C7" s="247">
        <v>297</v>
      </c>
      <c r="D7" s="247">
        <v>441</v>
      </c>
      <c r="E7" s="247">
        <v>103</v>
      </c>
      <c r="F7" s="247">
        <v>221</v>
      </c>
    </row>
    <row r="8" spans="1:6" ht="13.5">
      <c r="A8" s="79">
        <v>3</v>
      </c>
      <c r="B8" s="130" t="s">
        <v>59</v>
      </c>
      <c r="C8" s="247">
        <v>10952</v>
      </c>
      <c r="D8" s="247">
        <v>9361</v>
      </c>
      <c r="E8" s="247">
        <v>10083</v>
      </c>
      <c r="F8" s="247">
        <v>7517</v>
      </c>
    </row>
    <row r="9" spans="1:6" ht="13.5">
      <c r="A9" s="79">
        <v>4</v>
      </c>
      <c r="B9" s="130" t="s">
        <v>60</v>
      </c>
      <c r="C9" s="247">
        <v>111607</v>
      </c>
      <c r="D9" s="247">
        <v>329985</v>
      </c>
      <c r="E9" s="247">
        <v>148158</v>
      </c>
      <c r="F9" s="247">
        <v>139851</v>
      </c>
    </row>
    <row r="10" spans="1:6" ht="13.5">
      <c r="A10" s="79">
        <v>5</v>
      </c>
      <c r="B10" s="130" t="s">
        <v>61</v>
      </c>
      <c r="C10" s="247">
        <v>11876</v>
      </c>
      <c r="D10" s="247">
        <v>19762.58</v>
      </c>
      <c r="E10" s="247">
        <v>13472</v>
      </c>
      <c r="F10" s="247">
        <v>19697.92</v>
      </c>
    </row>
    <row r="11" spans="1:6" ht="13.5">
      <c r="A11" s="79">
        <v>6</v>
      </c>
      <c r="B11" s="133" t="s">
        <v>289</v>
      </c>
      <c r="C11" s="247">
        <v>86</v>
      </c>
      <c r="D11" s="247">
        <v>50.02</v>
      </c>
      <c r="E11" s="247">
        <v>6</v>
      </c>
      <c r="F11" s="247">
        <v>7</v>
      </c>
    </row>
    <row r="12" spans="1:6" ht="13.5">
      <c r="A12" s="79">
        <v>7</v>
      </c>
      <c r="B12" s="130" t="s">
        <v>62</v>
      </c>
      <c r="C12" s="247">
        <v>2180</v>
      </c>
      <c r="D12" s="247">
        <v>1885</v>
      </c>
      <c r="E12" s="247">
        <v>4049</v>
      </c>
      <c r="F12" s="247">
        <v>3567</v>
      </c>
    </row>
    <row r="13" spans="1:6" ht="13.5">
      <c r="A13" s="79">
        <v>8</v>
      </c>
      <c r="B13" s="130" t="s">
        <v>63</v>
      </c>
      <c r="C13" s="247">
        <v>70218.493232</v>
      </c>
      <c r="D13" s="247">
        <v>46629.883875441905</v>
      </c>
      <c r="E13" s="247">
        <v>40674.669200000004</v>
      </c>
      <c r="F13" s="247">
        <v>10411.3273</v>
      </c>
    </row>
    <row r="14" spans="1:6" ht="13.5">
      <c r="A14" s="79">
        <v>9</v>
      </c>
      <c r="B14" s="130" t="s">
        <v>50</v>
      </c>
      <c r="C14" s="247">
        <v>357</v>
      </c>
      <c r="D14" s="247">
        <v>617</v>
      </c>
      <c r="E14" s="247">
        <v>95</v>
      </c>
      <c r="F14" s="247">
        <v>180</v>
      </c>
    </row>
    <row r="15" spans="1:6" ht="13.5">
      <c r="A15" s="79">
        <v>10</v>
      </c>
      <c r="B15" s="130" t="s">
        <v>51</v>
      </c>
      <c r="C15" s="247">
        <v>2830</v>
      </c>
      <c r="D15" s="247">
        <v>2452</v>
      </c>
      <c r="E15" s="247">
        <v>1512</v>
      </c>
      <c r="F15" s="247">
        <v>1763</v>
      </c>
    </row>
    <row r="16" spans="1:6" ht="13.5">
      <c r="A16" s="79">
        <v>11</v>
      </c>
      <c r="B16" s="130" t="s">
        <v>290</v>
      </c>
      <c r="C16" s="247">
        <v>421</v>
      </c>
      <c r="D16" s="247">
        <v>606</v>
      </c>
      <c r="E16" s="247">
        <v>655</v>
      </c>
      <c r="F16" s="247">
        <v>963</v>
      </c>
    </row>
    <row r="17" spans="1:6" ht="13.5">
      <c r="A17" s="79">
        <v>12</v>
      </c>
      <c r="B17" s="130" t="s">
        <v>64</v>
      </c>
      <c r="C17" s="247">
        <v>810</v>
      </c>
      <c r="D17" s="247">
        <v>1036</v>
      </c>
      <c r="E17" s="247">
        <v>217</v>
      </c>
      <c r="F17" s="247">
        <v>329</v>
      </c>
    </row>
    <row r="18" spans="1:6" ht="13.5">
      <c r="A18" s="79">
        <v>13</v>
      </c>
      <c r="B18" s="130" t="s">
        <v>65</v>
      </c>
      <c r="C18" s="247">
        <v>1163</v>
      </c>
      <c r="D18" s="247">
        <v>1699</v>
      </c>
      <c r="E18" s="247">
        <v>863</v>
      </c>
      <c r="F18" s="247">
        <v>1091</v>
      </c>
    </row>
    <row r="19" spans="1:6" ht="13.5">
      <c r="A19" s="79">
        <v>14</v>
      </c>
      <c r="B19" s="134" t="s">
        <v>291</v>
      </c>
      <c r="C19" s="247">
        <v>3440</v>
      </c>
      <c r="D19" s="247">
        <v>6800.94</v>
      </c>
      <c r="E19" s="247">
        <v>1539</v>
      </c>
      <c r="F19" s="247">
        <v>2130.18</v>
      </c>
    </row>
    <row r="20" spans="1:6" ht="13.5">
      <c r="A20" s="79">
        <v>15</v>
      </c>
      <c r="B20" s="130" t="s">
        <v>292</v>
      </c>
      <c r="C20" s="247">
        <v>338</v>
      </c>
      <c r="D20" s="247">
        <v>282</v>
      </c>
      <c r="E20" s="247">
        <v>89</v>
      </c>
      <c r="F20" s="247">
        <v>51</v>
      </c>
    </row>
    <row r="21" spans="1:6" ht="13.5">
      <c r="A21" s="79">
        <v>16</v>
      </c>
      <c r="B21" s="130" t="s">
        <v>66</v>
      </c>
      <c r="C21" s="247">
        <v>18547</v>
      </c>
      <c r="D21" s="247">
        <v>20605</v>
      </c>
      <c r="E21" s="247">
        <v>8729</v>
      </c>
      <c r="F21" s="247">
        <v>9258</v>
      </c>
    </row>
    <row r="22" spans="1:6" ht="13.5">
      <c r="A22" s="79">
        <v>17</v>
      </c>
      <c r="B22" s="135" t="s">
        <v>67</v>
      </c>
      <c r="C22" s="247">
        <v>1685</v>
      </c>
      <c r="D22" s="247">
        <v>2196</v>
      </c>
      <c r="E22" s="247">
        <v>1540</v>
      </c>
      <c r="F22" s="247">
        <v>1828</v>
      </c>
    </row>
    <row r="23" spans="1:6" ht="13.5">
      <c r="A23" s="79">
        <v>18</v>
      </c>
      <c r="B23" s="130" t="s">
        <v>253</v>
      </c>
      <c r="C23" s="247">
        <v>13730</v>
      </c>
      <c r="D23" s="247">
        <v>20590</v>
      </c>
      <c r="E23" s="247">
        <v>8920</v>
      </c>
      <c r="F23" s="247">
        <v>3130</v>
      </c>
    </row>
    <row r="24" spans="1:6" ht="14.25" customHeight="1">
      <c r="A24" s="79">
        <v>19</v>
      </c>
      <c r="B24" s="136" t="s">
        <v>68</v>
      </c>
      <c r="C24" s="247">
        <v>20475</v>
      </c>
      <c r="D24" s="247">
        <v>18758.08</v>
      </c>
      <c r="E24" s="247">
        <v>14726</v>
      </c>
      <c r="F24" s="247">
        <v>17484.32</v>
      </c>
    </row>
    <row r="25" spans="1:6" ht="13.5">
      <c r="A25" s="79">
        <v>20</v>
      </c>
      <c r="B25" s="130" t="s">
        <v>69</v>
      </c>
      <c r="C25" s="247">
        <v>167</v>
      </c>
      <c r="D25" s="247">
        <v>1670</v>
      </c>
      <c r="E25" s="247">
        <v>72</v>
      </c>
      <c r="F25" s="247">
        <v>716</v>
      </c>
    </row>
    <row r="26" spans="1:6" ht="13.5">
      <c r="A26" s="79">
        <v>21</v>
      </c>
      <c r="B26" s="130" t="s">
        <v>52</v>
      </c>
      <c r="C26" s="247">
        <v>339</v>
      </c>
      <c r="D26" s="247">
        <v>601.6</v>
      </c>
      <c r="E26" s="247">
        <v>149</v>
      </c>
      <c r="F26" s="247">
        <v>339.41</v>
      </c>
    </row>
    <row r="27" spans="1:6" ht="13.5">
      <c r="A27" s="287"/>
      <c r="B27" s="137" t="s">
        <v>293</v>
      </c>
      <c r="C27" s="251">
        <f>SUM(C6:C26)</f>
        <v>300170.493232</v>
      </c>
      <c r="D27" s="251">
        <f>SUM(D6:D26)</f>
        <v>562546.103875442</v>
      </c>
      <c r="E27" s="251">
        <f>SUM(E6:E26)</f>
        <v>266464.6692</v>
      </c>
      <c r="F27" s="251">
        <f>SUM(F6:F26)</f>
        <v>239665.1573</v>
      </c>
    </row>
    <row r="28" spans="1:6" ht="13.5">
      <c r="A28" s="79">
        <v>22</v>
      </c>
      <c r="B28" s="130" t="s">
        <v>294</v>
      </c>
      <c r="C28" s="247">
        <v>52</v>
      </c>
      <c r="D28" s="247">
        <v>80.79</v>
      </c>
      <c r="E28" s="247">
        <v>1</v>
      </c>
      <c r="F28" s="247">
        <v>17.1</v>
      </c>
    </row>
    <row r="29" spans="1:6" ht="13.5">
      <c r="A29" s="79">
        <v>23</v>
      </c>
      <c r="B29" s="130" t="s">
        <v>295</v>
      </c>
      <c r="C29" s="247">
        <v>2</v>
      </c>
      <c r="D29" s="247">
        <v>2</v>
      </c>
      <c r="E29" s="247">
        <v>0</v>
      </c>
      <c r="F29" s="247">
        <v>0</v>
      </c>
    </row>
    <row r="30" spans="1:6" ht="13.5">
      <c r="A30" s="79">
        <v>24</v>
      </c>
      <c r="B30" s="130" t="s">
        <v>296</v>
      </c>
      <c r="C30" s="247"/>
      <c r="D30" s="247"/>
      <c r="E30" s="247"/>
      <c r="F30" s="247"/>
    </row>
    <row r="31" spans="1:6" ht="18" customHeight="1">
      <c r="A31" s="79">
        <v>25</v>
      </c>
      <c r="B31" s="133" t="s">
        <v>297</v>
      </c>
      <c r="C31" s="247">
        <v>0</v>
      </c>
      <c r="D31" s="247">
        <v>0</v>
      </c>
      <c r="E31" s="247">
        <v>0</v>
      </c>
      <c r="F31" s="247">
        <v>0</v>
      </c>
    </row>
    <row r="32" spans="1:6" ht="13.5">
      <c r="A32" s="79">
        <v>26</v>
      </c>
      <c r="B32" s="130" t="s">
        <v>298</v>
      </c>
      <c r="C32" s="247">
        <v>359</v>
      </c>
      <c r="D32" s="247">
        <v>627.45</v>
      </c>
      <c r="E32" s="247">
        <v>73</v>
      </c>
      <c r="F32" s="247">
        <v>155</v>
      </c>
    </row>
    <row r="33" spans="1:6" ht="13.5">
      <c r="A33" s="79">
        <v>27</v>
      </c>
      <c r="B33" s="130" t="s">
        <v>72</v>
      </c>
      <c r="C33" s="247">
        <v>16330</v>
      </c>
      <c r="D33" s="247">
        <v>32735</v>
      </c>
      <c r="E33" s="247">
        <v>77566</v>
      </c>
      <c r="F33" s="247">
        <v>147554</v>
      </c>
    </row>
    <row r="34" spans="1:6" ht="13.5">
      <c r="A34" s="287"/>
      <c r="B34" s="137" t="s">
        <v>299</v>
      </c>
      <c r="C34" s="251">
        <f>SUM(C28:C33)</f>
        <v>16743</v>
      </c>
      <c r="D34" s="251">
        <f>SUM(D28:D33)</f>
        <v>33445.24</v>
      </c>
      <c r="E34" s="251">
        <f>SUM(E28:E33)</f>
        <v>77640</v>
      </c>
      <c r="F34" s="251">
        <f>SUM(F28:F33)</f>
        <v>147726.1</v>
      </c>
    </row>
    <row r="35" spans="1:6" ht="13.5">
      <c r="A35" s="79">
        <v>28</v>
      </c>
      <c r="B35" s="130" t="s">
        <v>49</v>
      </c>
      <c r="C35" s="247">
        <v>2609</v>
      </c>
      <c r="D35" s="247">
        <v>1712.37</v>
      </c>
      <c r="E35" s="247">
        <v>1164</v>
      </c>
      <c r="F35" s="247">
        <v>1306.83</v>
      </c>
    </row>
    <row r="36" spans="1:6" ht="13.5">
      <c r="A36" s="79">
        <v>29</v>
      </c>
      <c r="B36" s="80" t="s">
        <v>53</v>
      </c>
      <c r="C36" s="247">
        <v>1</v>
      </c>
      <c r="D36" s="247">
        <v>0.0079901</v>
      </c>
      <c r="E36" s="247">
        <v>0</v>
      </c>
      <c r="F36" s="247">
        <v>0</v>
      </c>
    </row>
    <row r="37" spans="1:6" ht="13.5">
      <c r="A37" s="79">
        <v>30</v>
      </c>
      <c r="B37" s="80" t="s">
        <v>300</v>
      </c>
      <c r="C37" s="247"/>
      <c r="D37" s="247"/>
      <c r="E37" s="247"/>
      <c r="F37" s="247"/>
    </row>
    <row r="38" spans="1:6" ht="13.5">
      <c r="A38" s="79">
        <v>31</v>
      </c>
      <c r="B38" s="130" t="s">
        <v>301</v>
      </c>
      <c r="C38" s="247">
        <v>0</v>
      </c>
      <c r="D38" s="247">
        <v>0</v>
      </c>
      <c r="E38" s="247">
        <v>0</v>
      </c>
      <c r="F38" s="247">
        <v>0</v>
      </c>
    </row>
    <row r="39" spans="1:6" ht="13.5">
      <c r="A39" s="79">
        <v>32</v>
      </c>
      <c r="B39" s="130" t="s">
        <v>302</v>
      </c>
      <c r="C39" s="247">
        <v>27</v>
      </c>
      <c r="D39" s="247">
        <v>22.07</v>
      </c>
      <c r="E39" s="247">
        <v>8</v>
      </c>
      <c r="F39" s="247">
        <v>4.7</v>
      </c>
    </row>
    <row r="40" spans="1:6" ht="13.5">
      <c r="A40" s="79">
        <v>33</v>
      </c>
      <c r="B40" s="130" t="s">
        <v>303</v>
      </c>
      <c r="C40" s="247">
        <v>4102</v>
      </c>
      <c r="D40" s="247">
        <v>12839.5879621</v>
      </c>
      <c r="E40" s="247">
        <v>2290</v>
      </c>
      <c r="F40" s="247">
        <v>3905.1840217000004</v>
      </c>
    </row>
    <row r="41" spans="1:6" ht="13.5">
      <c r="A41" s="79">
        <v>34</v>
      </c>
      <c r="B41" s="130" t="s">
        <v>304</v>
      </c>
      <c r="C41" s="247">
        <v>4977</v>
      </c>
      <c r="D41" s="247">
        <v>4346.8773694</v>
      </c>
      <c r="E41" s="247">
        <v>2261</v>
      </c>
      <c r="F41" s="247">
        <v>2596.349822</v>
      </c>
    </row>
    <row r="42" spans="1:6" ht="13.5">
      <c r="A42" s="79">
        <v>35</v>
      </c>
      <c r="B42" s="130" t="s">
        <v>305</v>
      </c>
      <c r="C42" s="247"/>
      <c r="D42" s="247"/>
      <c r="E42" s="247"/>
      <c r="F42" s="247"/>
    </row>
    <row r="43" spans="1:6" ht="13.5">
      <c r="A43" s="79">
        <v>36</v>
      </c>
      <c r="B43" s="130" t="s">
        <v>255</v>
      </c>
      <c r="C43" s="247">
        <v>27277</v>
      </c>
      <c r="D43" s="247">
        <v>5688</v>
      </c>
      <c r="E43" s="247">
        <v>10806</v>
      </c>
      <c r="F43" s="247">
        <v>2063</v>
      </c>
    </row>
    <row r="44" spans="1:6" ht="13.5">
      <c r="A44" s="79">
        <v>37</v>
      </c>
      <c r="B44" s="130" t="s">
        <v>306</v>
      </c>
      <c r="C44" s="247">
        <v>15</v>
      </c>
      <c r="D44" s="247">
        <v>8</v>
      </c>
      <c r="E44" s="247">
        <v>8</v>
      </c>
      <c r="F44" s="247">
        <v>1.56</v>
      </c>
    </row>
    <row r="45" spans="1:6" ht="13.5">
      <c r="A45" s="79">
        <v>38</v>
      </c>
      <c r="B45" s="130" t="s">
        <v>307</v>
      </c>
      <c r="C45" s="247">
        <v>8</v>
      </c>
      <c r="D45" s="247">
        <v>300</v>
      </c>
      <c r="E45" s="247">
        <v>0</v>
      </c>
      <c r="F45" s="247">
        <v>0</v>
      </c>
    </row>
    <row r="46" spans="1:6" ht="13.5">
      <c r="A46" s="79">
        <v>39</v>
      </c>
      <c r="B46" s="130" t="s">
        <v>95</v>
      </c>
      <c r="C46" s="247">
        <v>0</v>
      </c>
      <c r="D46" s="247">
        <v>0</v>
      </c>
      <c r="E46" s="247">
        <v>0</v>
      </c>
      <c r="F46" s="247">
        <v>0</v>
      </c>
    </row>
    <row r="47" spans="1:6" ht="13.5">
      <c r="A47" s="79">
        <v>40</v>
      </c>
      <c r="B47" s="130" t="s">
        <v>308</v>
      </c>
      <c r="C47" s="247"/>
      <c r="D47" s="247"/>
      <c r="E47" s="247"/>
      <c r="F47" s="247"/>
    </row>
    <row r="48" spans="1:6" ht="13.5">
      <c r="A48" s="79">
        <v>41</v>
      </c>
      <c r="B48" s="130" t="s">
        <v>309</v>
      </c>
      <c r="C48" s="247">
        <v>0</v>
      </c>
      <c r="D48" s="247">
        <v>0</v>
      </c>
      <c r="E48" s="247">
        <v>0</v>
      </c>
      <c r="F48" s="247">
        <v>0</v>
      </c>
    </row>
    <row r="49" spans="1:6" ht="13.5">
      <c r="A49" s="79">
        <v>42</v>
      </c>
      <c r="B49" s="139" t="s">
        <v>310</v>
      </c>
      <c r="C49" s="247">
        <v>0</v>
      </c>
      <c r="D49" s="247">
        <v>0</v>
      </c>
      <c r="E49" s="247">
        <v>0</v>
      </c>
      <c r="F49" s="247">
        <v>0</v>
      </c>
    </row>
    <row r="50" spans="1:6" ht="13.5">
      <c r="A50" s="79">
        <v>43</v>
      </c>
      <c r="B50" s="130" t="s">
        <v>311</v>
      </c>
      <c r="C50" s="247">
        <v>8355</v>
      </c>
      <c r="D50" s="247">
        <v>593.1695761799995</v>
      </c>
      <c r="E50" s="247">
        <v>2225</v>
      </c>
      <c r="F50" s="247">
        <v>172.18256243999997</v>
      </c>
    </row>
    <row r="51" spans="1:6" ht="13.5">
      <c r="A51" s="79">
        <v>44</v>
      </c>
      <c r="B51" s="130" t="s">
        <v>78</v>
      </c>
      <c r="C51" s="247"/>
      <c r="D51" s="247"/>
      <c r="E51" s="247"/>
      <c r="F51" s="247"/>
    </row>
    <row r="52" spans="1:6" ht="13.5">
      <c r="A52" s="82"/>
      <c r="B52" s="137" t="s">
        <v>274</v>
      </c>
      <c r="C52" s="251">
        <f>SUM(C35:C51)</f>
        <v>47371</v>
      </c>
      <c r="D52" s="251">
        <f>SUM(D35:D51)</f>
        <v>25510.08289778</v>
      </c>
      <c r="E52" s="251">
        <f>SUM(E35:E51)</f>
        <v>18762</v>
      </c>
      <c r="F52" s="251">
        <f>SUM(F35:F51)</f>
        <v>10049.806406140002</v>
      </c>
    </row>
    <row r="53" spans="1:6" ht="13.5">
      <c r="A53" s="79">
        <v>45</v>
      </c>
      <c r="B53" s="130" t="s">
        <v>48</v>
      </c>
      <c r="C53" s="247">
        <v>33334</v>
      </c>
      <c r="D53" s="247">
        <v>30161</v>
      </c>
      <c r="E53" s="247">
        <v>25923</v>
      </c>
      <c r="F53" s="247">
        <v>23459</v>
      </c>
    </row>
    <row r="54" spans="1:6" ht="13.5">
      <c r="A54" s="79">
        <v>46</v>
      </c>
      <c r="B54" s="130" t="s">
        <v>269</v>
      </c>
      <c r="C54" s="247">
        <v>43314</v>
      </c>
      <c r="D54" s="247">
        <v>21307</v>
      </c>
      <c r="E54" s="247">
        <v>16586</v>
      </c>
      <c r="F54" s="247">
        <v>8068</v>
      </c>
    </row>
    <row r="55" spans="1:6" ht="13.5">
      <c r="A55" s="79">
        <v>47</v>
      </c>
      <c r="B55" s="130" t="s">
        <v>54</v>
      </c>
      <c r="C55" s="247">
        <v>28505</v>
      </c>
      <c r="D55" s="247">
        <v>27617.44</v>
      </c>
      <c r="E55" s="247">
        <v>29770</v>
      </c>
      <c r="F55" s="247">
        <v>28079.21</v>
      </c>
    </row>
    <row r="56" spans="1:6" ht="13.5">
      <c r="A56" s="82"/>
      <c r="B56" s="137" t="s">
        <v>270</v>
      </c>
      <c r="C56" s="251">
        <f>SUM(C53:C55)</f>
        <v>105153</v>
      </c>
      <c r="D56" s="251">
        <f>SUM(D53:D55)</f>
        <v>79085.44</v>
      </c>
      <c r="E56" s="251">
        <f>SUM(E53:E55)</f>
        <v>72279</v>
      </c>
      <c r="F56" s="251">
        <f>SUM(F53:F55)</f>
        <v>59606.21</v>
      </c>
    </row>
    <row r="57" spans="1:6" ht="13.5">
      <c r="A57" s="79">
        <v>48</v>
      </c>
      <c r="B57" s="130" t="s">
        <v>312</v>
      </c>
      <c r="C57" s="247">
        <v>163112</v>
      </c>
      <c r="D57" s="247">
        <v>56620.23</v>
      </c>
      <c r="E57" s="247">
        <v>22067</v>
      </c>
      <c r="F57" s="247">
        <v>110484.25</v>
      </c>
    </row>
    <row r="58" spans="1:6" ht="13.5">
      <c r="A58" s="82"/>
      <c r="B58" s="137" t="s">
        <v>275</v>
      </c>
      <c r="C58" s="251">
        <f>C57</f>
        <v>163112</v>
      </c>
      <c r="D58" s="251">
        <f>D57</f>
        <v>56620.23</v>
      </c>
      <c r="E58" s="251">
        <f>E57</f>
        <v>22067</v>
      </c>
      <c r="F58" s="251">
        <f>F57</f>
        <v>110484.25</v>
      </c>
    </row>
    <row r="59" spans="1:6" ht="13.5">
      <c r="A59" s="82"/>
      <c r="B59" s="137" t="s">
        <v>276</v>
      </c>
      <c r="C59" s="251">
        <f>C58+C56+C52+C34+C27</f>
        <v>632549.4932319999</v>
      </c>
      <c r="D59" s="251">
        <f>D58+D56+D52+D34+D27</f>
        <v>757207.096773222</v>
      </c>
      <c r="E59" s="251">
        <f>E58+E56+E52+E34+E27</f>
        <v>457212.6692</v>
      </c>
      <c r="F59" s="251">
        <f>F58+F56+F52+F34+F27</f>
        <v>567531.52370614</v>
      </c>
    </row>
    <row r="60" spans="3:5" ht="12.75">
      <c r="C60" s="6"/>
      <c r="D60" s="6"/>
      <c r="E60" s="6"/>
    </row>
  </sheetData>
  <sheetProtection/>
  <mergeCells count="6">
    <mergeCell ref="A1:F1"/>
    <mergeCell ref="B3:D3"/>
    <mergeCell ref="A4:A5"/>
    <mergeCell ref="B4:B5"/>
    <mergeCell ref="C4:D4"/>
    <mergeCell ref="E4:F4"/>
  </mergeCells>
  <conditionalFormatting sqref="B6">
    <cfRule type="duplicateValues" priority="1" dxfId="197">
      <formula>AND(COUNTIF($B$6:$B$6,B6)&gt;1,NOT(ISBLANK(B6)))</formula>
    </cfRule>
  </conditionalFormatting>
  <conditionalFormatting sqref="B22">
    <cfRule type="duplicateValues" priority="2" dxfId="197">
      <formula>AND(COUNTIF($B$22:$B$22,B22)&gt;1,NOT(ISBLANK(B22)))</formula>
    </cfRule>
  </conditionalFormatting>
  <conditionalFormatting sqref="B33:B34 B26:B30">
    <cfRule type="duplicateValues" priority="3" dxfId="197">
      <formula>AND(COUNTIF($B$33:$B$34,B26)+COUNTIF($B$26:$B$30,B26)&gt;1,NOT(ISBLANK(B26)))</formula>
    </cfRule>
  </conditionalFormatting>
  <conditionalFormatting sqref="B52">
    <cfRule type="duplicateValues" priority="4" dxfId="197">
      <formula>AND(COUNTIF($B$52:$B$52,B52)&gt;1,NOT(ISBLANK(B52)))</formula>
    </cfRule>
  </conditionalFormatting>
  <conditionalFormatting sqref="B56">
    <cfRule type="duplicateValues" priority="5" dxfId="197">
      <formula>AND(COUNTIF($B$56:$B$56,B56)&gt;1,NOT(ISBLANK(B56)))</formula>
    </cfRule>
  </conditionalFormatting>
  <conditionalFormatting sqref="B58">
    <cfRule type="duplicateValues" priority="6" dxfId="197">
      <formula>AND(COUNTIF($B$58:$B$58,B58)&gt;1,NOT(ISBLANK(B58)))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59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F59"/>
  <sheetViews>
    <sheetView view="pageBreakPreview" zoomScale="60" zoomScalePageLayoutView="0" workbookViewId="0" topLeftCell="A1">
      <pane xSplit="2" ySplit="5" topLeftCell="C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0" sqref="I40"/>
    </sheetView>
  </sheetViews>
  <sheetFormatPr defaultColWidth="9.140625" defaultRowHeight="12.75"/>
  <cols>
    <col min="1" max="1" width="5.00390625" style="324" customWidth="1"/>
    <col min="2" max="2" width="24.421875" style="324" bestFit="1" customWidth="1"/>
    <col min="3" max="3" width="15.00390625" style="324" customWidth="1"/>
    <col min="4" max="4" width="12.421875" style="324" customWidth="1"/>
    <col min="5" max="5" width="15.8515625" style="324" customWidth="1"/>
    <col min="6" max="6" width="14.00390625" style="324" customWidth="1"/>
    <col min="7" max="16384" width="9.140625" style="324" customWidth="1"/>
  </cols>
  <sheetData>
    <row r="1" spans="1:6" ht="18.75">
      <c r="A1" s="625" t="s">
        <v>222</v>
      </c>
      <c r="B1" s="625"/>
      <c r="C1" s="625"/>
      <c r="D1" s="625"/>
      <c r="E1" s="625"/>
      <c r="F1" s="625"/>
    </row>
    <row r="2" spans="1:6" ht="14.25">
      <c r="A2" s="58"/>
      <c r="B2" s="58"/>
      <c r="C2" s="58"/>
      <c r="D2" s="58"/>
      <c r="E2" s="58"/>
      <c r="F2" s="58"/>
    </row>
    <row r="3" spans="1:6" ht="15.75">
      <c r="A3" s="38"/>
      <c r="B3" s="658" t="s">
        <v>12</v>
      </c>
      <c r="C3" s="658"/>
      <c r="D3" s="658"/>
      <c r="F3" s="323" t="s">
        <v>221</v>
      </c>
    </row>
    <row r="4" spans="1:6" ht="15" customHeight="1">
      <c r="A4" s="634" t="s">
        <v>272</v>
      </c>
      <c r="B4" s="634" t="s">
        <v>3</v>
      </c>
      <c r="C4" s="618" t="s">
        <v>218</v>
      </c>
      <c r="D4" s="618"/>
      <c r="E4" s="618" t="s">
        <v>219</v>
      </c>
      <c r="F4" s="618"/>
    </row>
    <row r="5" spans="1:6" ht="15" customHeight="1">
      <c r="A5" s="634"/>
      <c r="B5" s="634"/>
      <c r="C5" s="290" t="s">
        <v>30</v>
      </c>
      <c r="D5" s="322" t="s">
        <v>17</v>
      </c>
      <c r="E5" s="290" t="s">
        <v>30</v>
      </c>
      <c r="F5" s="322" t="s">
        <v>17</v>
      </c>
    </row>
    <row r="6" spans="1:6" ht="15" customHeight="1">
      <c r="A6" s="179">
        <v>1</v>
      </c>
      <c r="B6" s="180" t="s">
        <v>57</v>
      </c>
      <c r="C6" s="247">
        <v>369</v>
      </c>
      <c r="D6" s="247">
        <v>725</v>
      </c>
      <c r="E6" s="247">
        <v>198</v>
      </c>
      <c r="F6" s="247">
        <v>269</v>
      </c>
    </row>
    <row r="7" spans="1:6" ht="15" customHeight="1">
      <c r="A7" s="179">
        <v>2</v>
      </c>
      <c r="B7" s="180" t="s">
        <v>58</v>
      </c>
      <c r="C7" s="247">
        <v>34</v>
      </c>
      <c r="D7" s="247">
        <v>52</v>
      </c>
      <c r="E7" s="247">
        <v>19</v>
      </c>
      <c r="F7" s="247">
        <v>53</v>
      </c>
    </row>
    <row r="8" spans="1:6" ht="15" customHeight="1">
      <c r="A8" s="179">
        <v>3</v>
      </c>
      <c r="B8" s="180" t="s">
        <v>59</v>
      </c>
      <c r="C8" s="247">
        <v>169</v>
      </c>
      <c r="D8" s="247">
        <v>303.75</v>
      </c>
      <c r="E8" s="247">
        <v>105</v>
      </c>
      <c r="F8" s="247">
        <v>191</v>
      </c>
    </row>
    <row r="9" spans="1:6" ht="15" customHeight="1">
      <c r="A9" s="179">
        <v>4</v>
      </c>
      <c r="B9" s="180" t="s">
        <v>60</v>
      </c>
      <c r="C9" s="247">
        <v>281</v>
      </c>
      <c r="D9" s="247">
        <v>142</v>
      </c>
      <c r="E9" s="247">
        <v>194</v>
      </c>
      <c r="F9" s="247">
        <v>223</v>
      </c>
    </row>
    <row r="10" spans="1:6" ht="15" customHeight="1">
      <c r="A10" s="179">
        <v>5</v>
      </c>
      <c r="B10" s="180" t="s">
        <v>61</v>
      </c>
      <c r="C10" s="247">
        <v>305</v>
      </c>
      <c r="D10" s="247">
        <v>473.58</v>
      </c>
      <c r="E10" s="247">
        <v>246</v>
      </c>
      <c r="F10" s="247">
        <v>378.97</v>
      </c>
    </row>
    <row r="11" spans="1:6" ht="15" customHeight="1">
      <c r="A11" s="179">
        <v>6</v>
      </c>
      <c r="B11" s="121" t="s">
        <v>289</v>
      </c>
      <c r="C11" s="247">
        <v>7</v>
      </c>
      <c r="D11" s="247">
        <v>8</v>
      </c>
      <c r="E11" s="247">
        <v>1</v>
      </c>
      <c r="F11" s="247">
        <v>0.5</v>
      </c>
    </row>
    <row r="12" spans="1:6" ht="15" customHeight="1">
      <c r="A12" s="179">
        <v>7</v>
      </c>
      <c r="B12" s="180" t="s">
        <v>62</v>
      </c>
      <c r="C12" s="247">
        <v>249</v>
      </c>
      <c r="D12" s="247">
        <v>518</v>
      </c>
      <c r="E12" s="247">
        <v>419</v>
      </c>
      <c r="F12" s="247">
        <v>915</v>
      </c>
    </row>
    <row r="13" spans="1:6" ht="15" customHeight="1">
      <c r="A13" s="179">
        <v>8</v>
      </c>
      <c r="B13" s="180" t="s">
        <v>63</v>
      </c>
      <c r="C13" s="247">
        <v>417</v>
      </c>
      <c r="D13" s="247">
        <v>816</v>
      </c>
      <c r="E13" s="247">
        <v>19</v>
      </c>
      <c r="F13" s="247">
        <v>205</v>
      </c>
    </row>
    <row r="14" spans="1:6" ht="15" customHeight="1">
      <c r="A14" s="179">
        <v>9</v>
      </c>
      <c r="B14" s="180" t="s">
        <v>50</v>
      </c>
      <c r="C14" s="247">
        <v>183</v>
      </c>
      <c r="D14" s="247">
        <v>294</v>
      </c>
      <c r="E14" s="247">
        <v>95</v>
      </c>
      <c r="F14" s="247">
        <v>180</v>
      </c>
    </row>
    <row r="15" spans="1:6" ht="15" customHeight="1">
      <c r="A15" s="179">
        <v>10</v>
      </c>
      <c r="B15" s="180" t="s">
        <v>51</v>
      </c>
      <c r="C15" s="247">
        <v>140</v>
      </c>
      <c r="D15" s="247">
        <v>220</v>
      </c>
      <c r="E15" s="247">
        <v>72</v>
      </c>
      <c r="F15" s="247">
        <v>171</v>
      </c>
    </row>
    <row r="16" spans="1:6" ht="15" customHeight="1">
      <c r="A16" s="179">
        <v>11</v>
      </c>
      <c r="B16" s="180" t="s">
        <v>290</v>
      </c>
      <c r="C16" s="247">
        <v>86</v>
      </c>
      <c r="D16" s="247">
        <v>89</v>
      </c>
      <c r="E16" s="247">
        <v>112</v>
      </c>
      <c r="F16" s="247">
        <v>106</v>
      </c>
    </row>
    <row r="17" spans="1:6" ht="15" customHeight="1">
      <c r="A17" s="179">
        <v>12</v>
      </c>
      <c r="B17" s="180" t="s">
        <v>64</v>
      </c>
      <c r="C17" s="247">
        <v>29</v>
      </c>
      <c r="D17" s="247">
        <v>23.64</v>
      </c>
      <c r="E17" s="247">
        <v>16</v>
      </c>
      <c r="F17" s="247">
        <v>8.4</v>
      </c>
    </row>
    <row r="18" spans="1:6" ht="15" customHeight="1">
      <c r="A18" s="179">
        <v>13</v>
      </c>
      <c r="B18" s="180" t="s">
        <v>65</v>
      </c>
      <c r="C18" s="247">
        <v>13</v>
      </c>
      <c r="D18" s="247">
        <v>22</v>
      </c>
      <c r="E18" s="247">
        <v>6</v>
      </c>
      <c r="F18" s="247">
        <v>19</v>
      </c>
    </row>
    <row r="19" spans="1:6" ht="15" customHeight="1">
      <c r="A19" s="179">
        <v>14</v>
      </c>
      <c r="B19" s="122" t="s">
        <v>316</v>
      </c>
      <c r="C19" s="247">
        <v>164</v>
      </c>
      <c r="D19" s="247">
        <v>254.03</v>
      </c>
      <c r="E19" s="247">
        <v>64</v>
      </c>
      <c r="F19" s="247">
        <v>67.52</v>
      </c>
    </row>
    <row r="20" spans="1:6" ht="15" customHeight="1">
      <c r="A20" s="179">
        <v>15</v>
      </c>
      <c r="B20" s="180" t="s">
        <v>292</v>
      </c>
      <c r="C20" s="247">
        <v>12</v>
      </c>
      <c r="D20" s="247">
        <v>25</v>
      </c>
      <c r="E20" s="247">
        <v>7</v>
      </c>
      <c r="F20" s="247">
        <v>6</v>
      </c>
    </row>
    <row r="21" spans="1:6" ht="15" customHeight="1">
      <c r="A21" s="179">
        <v>16</v>
      </c>
      <c r="B21" s="180" t="s">
        <v>66</v>
      </c>
      <c r="C21" s="247">
        <v>3031</v>
      </c>
      <c r="D21" s="247">
        <v>4867</v>
      </c>
      <c r="E21" s="247">
        <v>1709</v>
      </c>
      <c r="F21" s="247">
        <v>2201</v>
      </c>
    </row>
    <row r="22" spans="1:6" ht="15" customHeight="1">
      <c r="A22" s="179">
        <v>17</v>
      </c>
      <c r="B22" s="122" t="s">
        <v>67</v>
      </c>
      <c r="C22" s="247">
        <v>225</v>
      </c>
      <c r="D22" s="247">
        <v>289</v>
      </c>
      <c r="E22" s="247">
        <v>174</v>
      </c>
      <c r="F22" s="247">
        <v>238</v>
      </c>
    </row>
    <row r="23" spans="1:6" ht="15" customHeight="1">
      <c r="A23" s="179">
        <v>18</v>
      </c>
      <c r="B23" s="80" t="s">
        <v>253</v>
      </c>
      <c r="C23" s="247">
        <v>45</v>
      </c>
      <c r="D23" s="247">
        <v>225</v>
      </c>
      <c r="E23" s="247">
        <v>11</v>
      </c>
      <c r="F23" s="247">
        <v>14</v>
      </c>
    </row>
    <row r="24" spans="1:6" ht="15" customHeight="1">
      <c r="A24" s="179">
        <v>19</v>
      </c>
      <c r="B24" s="123" t="s">
        <v>68</v>
      </c>
      <c r="C24" s="247">
        <v>289</v>
      </c>
      <c r="D24" s="247">
        <v>129.32</v>
      </c>
      <c r="E24" s="247">
        <v>84</v>
      </c>
      <c r="F24" s="247">
        <v>43.12</v>
      </c>
    </row>
    <row r="25" spans="1:6" ht="15" customHeight="1">
      <c r="A25" s="179">
        <v>20</v>
      </c>
      <c r="B25" s="180" t="s">
        <v>69</v>
      </c>
      <c r="C25" s="247">
        <v>2</v>
      </c>
      <c r="D25" s="247">
        <v>2.35</v>
      </c>
      <c r="E25" s="247">
        <v>1</v>
      </c>
      <c r="F25" s="247">
        <v>1</v>
      </c>
    </row>
    <row r="26" spans="1:6" ht="15" customHeight="1">
      <c r="A26" s="179">
        <v>21</v>
      </c>
      <c r="B26" s="180" t="s">
        <v>52</v>
      </c>
      <c r="C26" s="247">
        <v>9</v>
      </c>
      <c r="D26" s="247">
        <v>12.86</v>
      </c>
      <c r="E26" s="247">
        <v>5</v>
      </c>
      <c r="F26" s="247">
        <v>2.72</v>
      </c>
    </row>
    <row r="27" spans="1:6" ht="15" customHeight="1">
      <c r="A27" s="288"/>
      <c r="B27" s="183" t="s">
        <v>293</v>
      </c>
      <c r="C27" s="251">
        <f>SUM(C6:C26)</f>
        <v>6059</v>
      </c>
      <c r="D27" s="251">
        <f>SUM(D6:D26)</f>
        <v>9491.53</v>
      </c>
      <c r="E27" s="251">
        <f>SUM(E6:E26)</f>
        <v>3557</v>
      </c>
      <c r="F27" s="251">
        <f>SUM(F6:F26)</f>
        <v>5293.2300000000005</v>
      </c>
    </row>
    <row r="28" spans="1:6" ht="15" customHeight="1">
      <c r="A28" s="179">
        <v>22</v>
      </c>
      <c r="B28" s="180" t="s">
        <v>294</v>
      </c>
      <c r="C28" s="247">
        <v>5</v>
      </c>
      <c r="D28" s="247">
        <v>3.32</v>
      </c>
      <c r="E28" s="247">
        <v>0</v>
      </c>
      <c r="F28" s="247">
        <v>0</v>
      </c>
    </row>
    <row r="29" spans="1:6" ht="15" customHeight="1">
      <c r="A29" s="179">
        <v>23</v>
      </c>
      <c r="B29" s="180" t="s">
        <v>295</v>
      </c>
      <c r="C29" s="247">
        <v>2</v>
      </c>
      <c r="D29" s="247">
        <v>2</v>
      </c>
      <c r="E29" s="247">
        <v>0</v>
      </c>
      <c r="F29" s="247">
        <v>0</v>
      </c>
    </row>
    <row r="30" spans="1:6" ht="15" customHeight="1">
      <c r="A30" s="179">
        <v>24</v>
      </c>
      <c r="B30" s="180" t="s">
        <v>296</v>
      </c>
      <c r="C30" s="247">
        <v>0</v>
      </c>
      <c r="D30" s="247">
        <v>0</v>
      </c>
      <c r="E30" s="247">
        <v>2</v>
      </c>
      <c r="F30" s="247">
        <v>9.55</v>
      </c>
    </row>
    <row r="31" spans="1:6" ht="15" customHeight="1">
      <c r="A31" s="179">
        <v>25</v>
      </c>
      <c r="B31" s="121" t="s">
        <v>297</v>
      </c>
      <c r="C31" s="247">
        <v>0</v>
      </c>
      <c r="D31" s="247">
        <v>0</v>
      </c>
      <c r="E31" s="247">
        <v>0</v>
      </c>
      <c r="F31" s="247">
        <v>0</v>
      </c>
    </row>
    <row r="32" spans="1:6" ht="15" customHeight="1">
      <c r="A32" s="179">
        <v>26</v>
      </c>
      <c r="B32" s="180" t="s">
        <v>298</v>
      </c>
      <c r="C32" s="247">
        <v>370</v>
      </c>
      <c r="D32" s="247">
        <v>752</v>
      </c>
      <c r="E32" s="247">
        <v>81</v>
      </c>
      <c r="F32" s="247">
        <v>186</v>
      </c>
    </row>
    <row r="33" spans="1:6" ht="15" customHeight="1">
      <c r="A33" s="179">
        <v>27</v>
      </c>
      <c r="B33" s="180" t="s">
        <v>72</v>
      </c>
      <c r="C33" s="247">
        <v>4999</v>
      </c>
      <c r="D33" s="247">
        <v>1999</v>
      </c>
      <c r="E33" s="247">
        <v>5999</v>
      </c>
      <c r="F33" s="247">
        <v>2999</v>
      </c>
    </row>
    <row r="34" spans="1:6" ht="15" customHeight="1">
      <c r="A34" s="288"/>
      <c r="B34" s="183" t="s">
        <v>299</v>
      </c>
      <c r="C34" s="251">
        <f>SUM(C28:C33)</f>
        <v>5376</v>
      </c>
      <c r="D34" s="251">
        <f>SUM(D28:D33)</f>
        <v>2756.32</v>
      </c>
      <c r="E34" s="251">
        <f>SUM(E28:E33)</f>
        <v>6082</v>
      </c>
      <c r="F34" s="251">
        <f>SUM(F28:F33)</f>
        <v>3194.55</v>
      </c>
    </row>
    <row r="35" spans="1:6" ht="15" customHeight="1">
      <c r="A35" s="179">
        <v>28</v>
      </c>
      <c r="B35" s="180" t="s">
        <v>49</v>
      </c>
      <c r="C35" s="247">
        <v>313</v>
      </c>
      <c r="D35" s="247">
        <v>345.71</v>
      </c>
      <c r="E35" s="247">
        <v>117</v>
      </c>
      <c r="F35" s="247">
        <v>241.86</v>
      </c>
    </row>
    <row r="36" spans="1:6" ht="15" customHeight="1">
      <c r="A36" s="179">
        <v>29</v>
      </c>
      <c r="B36" s="180" t="s">
        <v>53</v>
      </c>
      <c r="C36" s="247">
        <v>0</v>
      </c>
      <c r="D36" s="247">
        <v>0</v>
      </c>
      <c r="E36" s="247">
        <v>0</v>
      </c>
      <c r="F36" s="247">
        <v>0</v>
      </c>
    </row>
    <row r="37" spans="1:6" ht="15" customHeight="1">
      <c r="A37" s="179">
        <v>30</v>
      </c>
      <c r="B37" s="180" t="s">
        <v>300</v>
      </c>
      <c r="C37" s="247">
        <v>0</v>
      </c>
      <c r="D37" s="247">
        <v>0</v>
      </c>
      <c r="E37" s="247">
        <v>0</v>
      </c>
      <c r="F37" s="247">
        <v>0</v>
      </c>
    </row>
    <row r="38" spans="1:6" ht="15" customHeight="1">
      <c r="A38" s="179">
        <v>31</v>
      </c>
      <c r="B38" s="180" t="s">
        <v>301</v>
      </c>
      <c r="C38" s="247">
        <v>0</v>
      </c>
      <c r="D38" s="247">
        <v>0</v>
      </c>
      <c r="E38" s="247">
        <v>0</v>
      </c>
      <c r="F38" s="247">
        <v>0</v>
      </c>
    </row>
    <row r="39" spans="1:6" ht="15" customHeight="1">
      <c r="A39" s="179">
        <v>32</v>
      </c>
      <c r="B39" s="180" t="s">
        <v>302</v>
      </c>
      <c r="C39" s="247">
        <v>14</v>
      </c>
      <c r="D39" s="247">
        <v>13.51</v>
      </c>
      <c r="E39" s="247">
        <v>6</v>
      </c>
      <c r="F39" s="247">
        <v>4.38</v>
      </c>
    </row>
    <row r="40" spans="1:6" ht="15" customHeight="1">
      <c r="A40" s="179">
        <v>33</v>
      </c>
      <c r="B40" s="180" t="s">
        <v>303</v>
      </c>
      <c r="C40" s="247">
        <v>122</v>
      </c>
      <c r="D40" s="247">
        <v>281.08065</v>
      </c>
      <c r="E40" s="247">
        <v>101</v>
      </c>
      <c r="F40" s="247">
        <v>269.598</v>
      </c>
    </row>
    <row r="41" spans="1:6" ht="15" customHeight="1">
      <c r="A41" s="179">
        <v>34</v>
      </c>
      <c r="B41" s="180" t="s">
        <v>304</v>
      </c>
      <c r="C41" s="247">
        <v>15444</v>
      </c>
      <c r="D41" s="247">
        <v>16253.7095607</v>
      </c>
      <c r="E41" s="247">
        <v>5960</v>
      </c>
      <c r="F41" s="247">
        <v>8542.2673582</v>
      </c>
    </row>
    <row r="42" spans="1:6" ht="15" customHeight="1">
      <c r="A42" s="179">
        <v>35</v>
      </c>
      <c r="B42" s="180" t="s">
        <v>305</v>
      </c>
      <c r="C42" s="247">
        <v>0</v>
      </c>
      <c r="D42" s="247">
        <v>0</v>
      </c>
      <c r="E42" s="247">
        <v>0</v>
      </c>
      <c r="F42" s="247">
        <v>0</v>
      </c>
    </row>
    <row r="43" spans="1:6" ht="15" customHeight="1">
      <c r="A43" s="179">
        <v>36</v>
      </c>
      <c r="B43" s="180" t="s">
        <v>255</v>
      </c>
      <c r="C43" s="247">
        <v>27277</v>
      </c>
      <c r="D43" s="247">
        <v>5688</v>
      </c>
      <c r="E43" s="247">
        <v>10806</v>
      </c>
      <c r="F43" s="247">
        <v>2063</v>
      </c>
    </row>
    <row r="44" spans="1:6" ht="15" customHeight="1">
      <c r="A44" s="179">
        <v>37</v>
      </c>
      <c r="B44" s="180" t="s">
        <v>306</v>
      </c>
      <c r="C44" s="247">
        <v>4</v>
      </c>
      <c r="D44" s="247">
        <v>7.5</v>
      </c>
      <c r="E44" s="247">
        <v>0</v>
      </c>
      <c r="F44" s="247">
        <v>0</v>
      </c>
    </row>
    <row r="45" spans="1:6" ht="15" customHeight="1">
      <c r="A45" s="179">
        <v>38</v>
      </c>
      <c r="B45" s="180" t="s">
        <v>307</v>
      </c>
      <c r="C45" s="247">
        <v>1</v>
      </c>
      <c r="D45" s="247">
        <v>9.9</v>
      </c>
      <c r="E45" s="247"/>
      <c r="F45" s="247"/>
    </row>
    <row r="46" spans="1:6" ht="15" customHeight="1">
      <c r="A46" s="179">
        <v>39</v>
      </c>
      <c r="B46" s="180" t="s">
        <v>95</v>
      </c>
      <c r="C46" s="247">
        <v>0</v>
      </c>
      <c r="D46" s="247">
        <v>0</v>
      </c>
      <c r="E46" s="247">
        <v>0</v>
      </c>
      <c r="F46" s="247">
        <v>0</v>
      </c>
    </row>
    <row r="47" spans="1:6" ht="15" customHeight="1">
      <c r="A47" s="179">
        <v>40</v>
      </c>
      <c r="B47" s="180" t="s">
        <v>308</v>
      </c>
      <c r="C47" s="247">
        <v>0</v>
      </c>
      <c r="D47" s="247">
        <v>0</v>
      </c>
      <c r="E47" s="247">
        <v>0</v>
      </c>
      <c r="F47" s="247">
        <v>0</v>
      </c>
    </row>
    <row r="48" spans="1:6" ht="15" customHeight="1">
      <c r="A48" s="179">
        <v>41</v>
      </c>
      <c r="B48" s="180" t="s">
        <v>309</v>
      </c>
      <c r="C48" s="247">
        <v>0</v>
      </c>
      <c r="D48" s="247">
        <v>0</v>
      </c>
      <c r="E48" s="247">
        <v>0</v>
      </c>
      <c r="F48" s="247">
        <v>0</v>
      </c>
    </row>
    <row r="49" spans="1:6" ht="15" customHeight="1">
      <c r="A49" s="179">
        <v>42</v>
      </c>
      <c r="B49" s="180" t="s">
        <v>310</v>
      </c>
      <c r="C49" s="247">
        <v>0</v>
      </c>
      <c r="D49" s="247">
        <v>0</v>
      </c>
      <c r="E49" s="247">
        <v>0</v>
      </c>
      <c r="F49" s="247">
        <v>0</v>
      </c>
    </row>
    <row r="50" spans="1:6" ht="15" customHeight="1">
      <c r="A50" s="179">
        <v>43</v>
      </c>
      <c r="B50" s="180" t="s">
        <v>311</v>
      </c>
      <c r="C50" s="247">
        <v>390</v>
      </c>
      <c r="D50" s="247">
        <v>90.60000000000004</v>
      </c>
      <c r="E50" s="247">
        <v>161</v>
      </c>
      <c r="F50" s="247">
        <v>37.3</v>
      </c>
    </row>
    <row r="51" spans="1:6" ht="15" customHeight="1">
      <c r="A51" s="179">
        <v>44</v>
      </c>
      <c r="B51" s="180" t="s">
        <v>78</v>
      </c>
      <c r="C51" s="247"/>
      <c r="D51" s="247"/>
      <c r="E51" s="247"/>
      <c r="F51" s="247"/>
    </row>
    <row r="52" spans="1:6" ht="15" customHeight="1">
      <c r="A52" s="183"/>
      <c r="B52" s="183" t="s">
        <v>274</v>
      </c>
      <c r="C52" s="251">
        <f>SUM(C35:C51)</f>
        <v>43565</v>
      </c>
      <c r="D52" s="251">
        <f>SUM(D35:D51)</f>
        <v>22690.0102107</v>
      </c>
      <c r="E52" s="251">
        <f>SUM(E35:E51)</f>
        <v>17151</v>
      </c>
      <c r="F52" s="251">
        <f>SUM(F35:F51)</f>
        <v>11158.4053582</v>
      </c>
    </row>
    <row r="53" spans="1:6" ht="15" customHeight="1">
      <c r="A53" s="179">
        <v>45</v>
      </c>
      <c r="B53" s="180" t="s">
        <v>48</v>
      </c>
      <c r="C53" s="247">
        <v>3743</v>
      </c>
      <c r="D53" s="247">
        <v>6139</v>
      </c>
      <c r="E53" s="247">
        <v>2911</v>
      </c>
      <c r="F53" s="247">
        <v>4774</v>
      </c>
    </row>
    <row r="54" spans="1:6" ht="15" customHeight="1">
      <c r="A54" s="179">
        <v>46</v>
      </c>
      <c r="B54" s="180" t="s">
        <v>269</v>
      </c>
      <c r="C54" s="247">
        <v>24521</v>
      </c>
      <c r="D54" s="247">
        <v>3012</v>
      </c>
      <c r="E54" s="247">
        <v>7236</v>
      </c>
      <c r="F54" s="247">
        <v>1128</v>
      </c>
    </row>
    <row r="55" spans="1:6" ht="15" customHeight="1">
      <c r="A55" s="179">
        <v>47</v>
      </c>
      <c r="B55" s="180" t="s">
        <v>54</v>
      </c>
      <c r="C55" s="247">
        <v>282</v>
      </c>
      <c r="D55" s="247">
        <v>273.4399999999987</v>
      </c>
      <c r="E55" s="247">
        <v>294</v>
      </c>
      <c r="F55" s="247">
        <v>278.2099999999991</v>
      </c>
    </row>
    <row r="56" spans="1:6" ht="15" customHeight="1">
      <c r="A56" s="183"/>
      <c r="B56" s="183" t="s">
        <v>270</v>
      </c>
      <c r="C56" s="251">
        <f>SUM(C53:C55)</f>
        <v>28546</v>
      </c>
      <c r="D56" s="251">
        <f>SUM(D53:D55)</f>
        <v>9424.439999999999</v>
      </c>
      <c r="E56" s="251">
        <f>SUM(E53:E55)</f>
        <v>10441</v>
      </c>
      <c r="F56" s="251">
        <f>SUM(F53:F55)</f>
        <v>6180.209999999999</v>
      </c>
    </row>
    <row r="57" spans="1:6" ht="15" customHeight="1">
      <c r="A57" s="179">
        <v>48</v>
      </c>
      <c r="B57" s="180" t="s">
        <v>312</v>
      </c>
      <c r="C57" s="247">
        <v>161312</v>
      </c>
      <c r="D57" s="247">
        <v>51620</v>
      </c>
      <c r="E57" s="247">
        <v>221463</v>
      </c>
      <c r="F57" s="247">
        <v>90800</v>
      </c>
    </row>
    <row r="58" spans="1:6" ht="15" customHeight="1">
      <c r="A58" s="183"/>
      <c r="B58" s="183" t="s">
        <v>275</v>
      </c>
      <c r="C58" s="251">
        <f>C57</f>
        <v>161312</v>
      </c>
      <c r="D58" s="251">
        <f>D57</f>
        <v>51620</v>
      </c>
      <c r="E58" s="251">
        <f>E57</f>
        <v>221463</v>
      </c>
      <c r="F58" s="251">
        <f>F57</f>
        <v>90800</v>
      </c>
    </row>
    <row r="59" spans="1:6" ht="15" customHeight="1">
      <c r="A59" s="183"/>
      <c r="B59" s="183" t="s">
        <v>276</v>
      </c>
      <c r="C59" s="251">
        <f>C58+C56+C52+C34+C27</f>
        <v>244858</v>
      </c>
      <c r="D59" s="251">
        <f>D58+D56+D52+D34+D27</f>
        <v>95982.3002107</v>
      </c>
      <c r="E59" s="251">
        <f>E58+E56+E52+E34+E27</f>
        <v>258694</v>
      </c>
      <c r="F59" s="251">
        <f>F58+F56+F52+F34+F27</f>
        <v>116626.3953582</v>
      </c>
    </row>
  </sheetData>
  <sheetProtection/>
  <mergeCells count="6">
    <mergeCell ref="A1:F1"/>
    <mergeCell ref="B3:D3"/>
    <mergeCell ref="A4:A5"/>
    <mergeCell ref="B4:B5"/>
    <mergeCell ref="C4:D4"/>
    <mergeCell ref="E4:F4"/>
  </mergeCells>
  <conditionalFormatting sqref="B6">
    <cfRule type="duplicateValues" priority="1" dxfId="197">
      <formula>AND(COUNTIF($B$6:$B$6,B6)&gt;1,NOT(ISBLANK(B6)))</formula>
    </cfRule>
  </conditionalFormatting>
  <conditionalFormatting sqref="B22">
    <cfRule type="duplicateValues" priority="2" dxfId="197">
      <formula>AND(COUNTIF($B$22:$B$22,B22)&gt;1,NOT(ISBLANK(B22)))</formula>
    </cfRule>
  </conditionalFormatting>
  <conditionalFormatting sqref="B33:B34 B26:B30">
    <cfRule type="duplicateValues" priority="3" dxfId="197">
      <formula>AND(COUNTIF($B$33:$B$34,B26)+COUNTIF($B$26:$B$30,B26)&gt;1,NOT(ISBLANK(B26)))</formula>
    </cfRule>
  </conditionalFormatting>
  <conditionalFormatting sqref="B52">
    <cfRule type="duplicateValues" priority="4" dxfId="197">
      <formula>AND(COUNTIF($B$52:$B$52,B52)&gt;1,NOT(ISBLANK(B52)))</formula>
    </cfRule>
  </conditionalFormatting>
  <conditionalFormatting sqref="B56">
    <cfRule type="duplicateValues" priority="5" dxfId="197">
      <formula>AND(COUNTIF($B$56:$B$56,B56)&gt;1,NOT(ISBLANK(B56)))</formula>
    </cfRule>
  </conditionalFormatting>
  <conditionalFormatting sqref="B58">
    <cfRule type="duplicateValues" priority="6" dxfId="197">
      <formula>AND(COUNTIF($B$58:$B$58,B58)&gt;1,NOT(ISBLANK(B58)))</formula>
    </cfRule>
  </conditionalFormatting>
  <printOptions/>
  <pageMargins left="0.7" right="0.7" top="0.75" bottom="0.75" header="0.3" footer="0.3"/>
  <pageSetup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H59"/>
  <sheetViews>
    <sheetView view="pageBreakPreview" zoomScale="60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5" sqref="J45"/>
    </sheetView>
  </sheetViews>
  <sheetFormatPr defaultColWidth="9.140625" defaultRowHeight="12.75"/>
  <cols>
    <col min="1" max="1" width="6.57421875" style="324" customWidth="1"/>
    <col min="2" max="2" width="24.421875" style="324" bestFit="1" customWidth="1"/>
    <col min="3" max="3" width="15.00390625" style="324" customWidth="1"/>
    <col min="4" max="6" width="12.421875" style="324" customWidth="1"/>
    <col min="7" max="7" width="13.00390625" style="324" customWidth="1"/>
    <col min="8" max="8" width="11.7109375" style="324" customWidth="1"/>
    <col min="9" max="16384" width="9.140625" style="324" customWidth="1"/>
  </cols>
  <sheetData>
    <row r="1" spans="1:8" ht="18.75">
      <c r="A1" s="625" t="s">
        <v>241</v>
      </c>
      <c r="B1" s="625"/>
      <c r="C1" s="625"/>
      <c r="D1" s="625"/>
      <c r="E1" s="625"/>
      <c r="F1" s="625"/>
      <c r="G1" s="625"/>
      <c r="H1" s="625"/>
    </row>
    <row r="2" spans="1:8" ht="14.25">
      <c r="A2" s="58"/>
      <c r="B2" s="58"/>
      <c r="C2" s="58"/>
      <c r="D2" s="58"/>
      <c r="E2" s="58"/>
      <c r="F2" s="58"/>
      <c r="G2" s="58"/>
      <c r="H2" s="58"/>
    </row>
    <row r="3" spans="1:8" ht="15.75">
      <c r="A3" s="38"/>
      <c r="B3" s="555" t="s">
        <v>12</v>
      </c>
      <c r="C3" s="555"/>
      <c r="D3" s="555"/>
      <c r="E3" s="313"/>
      <c r="F3" s="313"/>
      <c r="H3" s="323" t="s">
        <v>237</v>
      </c>
    </row>
    <row r="4" spans="1:8" ht="54.75" customHeight="1">
      <c r="A4" s="669" t="s">
        <v>272</v>
      </c>
      <c r="B4" s="669" t="s">
        <v>3</v>
      </c>
      <c r="C4" s="667" t="s">
        <v>238</v>
      </c>
      <c r="D4" s="668"/>
      <c r="E4" s="667" t="s">
        <v>240</v>
      </c>
      <c r="F4" s="668"/>
      <c r="G4" s="618" t="s">
        <v>239</v>
      </c>
      <c r="H4" s="618"/>
    </row>
    <row r="5" spans="1:8" ht="13.5">
      <c r="A5" s="670"/>
      <c r="B5" s="671"/>
      <c r="C5" s="290" t="s">
        <v>30</v>
      </c>
      <c r="D5" s="290" t="s">
        <v>17</v>
      </c>
      <c r="E5" s="290" t="s">
        <v>30</v>
      </c>
      <c r="F5" s="290" t="s">
        <v>17</v>
      </c>
      <c r="G5" s="290" t="s">
        <v>30</v>
      </c>
      <c r="H5" s="290" t="s">
        <v>17</v>
      </c>
    </row>
    <row r="6" spans="1:8" ht="13.5">
      <c r="A6" s="256">
        <v>1</v>
      </c>
      <c r="B6" s="257" t="s">
        <v>57</v>
      </c>
      <c r="C6" s="247">
        <v>21586</v>
      </c>
      <c r="D6" s="247">
        <v>47856</v>
      </c>
      <c r="E6" s="247">
        <v>13452</v>
      </c>
      <c r="F6" s="247">
        <v>10854</v>
      </c>
      <c r="G6" s="247">
        <v>1478</v>
      </c>
      <c r="H6" s="247">
        <v>2235.15</v>
      </c>
    </row>
    <row r="7" spans="1:8" ht="13.5">
      <c r="A7" s="256">
        <v>2</v>
      </c>
      <c r="B7" s="257" t="s">
        <v>58</v>
      </c>
      <c r="C7" s="247">
        <v>1635</v>
      </c>
      <c r="D7" s="247">
        <v>4304</v>
      </c>
      <c r="E7" s="247">
        <v>37</v>
      </c>
      <c r="F7" s="247">
        <v>9</v>
      </c>
      <c r="G7" s="247">
        <v>215</v>
      </c>
      <c r="H7" s="247">
        <v>507</v>
      </c>
    </row>
    <row r="8" spans="1:8" ht="13.5">
      <c r="A8" s="256">
        <v>3</v>
      </c>
      <c r="B8" s="257" t="s">
        <v>59</v>
      </c>
      <c r="C8" s="247">
        <v>597976</v>
      </c>
      <c r="D8" s="247">
        <v>408757.61</v>
      </c>
      <c r="E8" s="247">
        <v>6685</v>
      </c>
      <c r="F8" s="247">
        <v>4805</v>
      </c>
      <c r="G8" s="247">
        <v>211</v>
      </c>
      <c r="H8" s="247">
        <v>798</v>
      </c>
    </row>
    <row r="9" spans="1:8" ht="13.5">
      <c r="A9" s="256">
        <v>4</v>
      </c>
      <c r="B9" s="257" t="s">
        <v>60</v>
      </c>
      <c r="C9" s="247">
        <v>130442</v>
      </c>
      <c r="D9" s="247">
        <v>79499</v>
      </c>
      <c r="E9" s="247">
        <v>75874</v>
      </c>
      <c r="F9" s="247">
        <v>51174</v>
      </c>
      <c r="G9" s="247">
        <v>32610</v>
      </c>
      <c r="H9" s="247">
        <v>18284</v>
      </c>
    </row>
    <row r="10" spans="1:8" ht="13.5">
      <c r="A10" s="256">
        <v>5</v>
      </c>
      <c r="B10" s="257" t="s">
        <v>61</v>
      </c>
      <c r="C10" s="247">
        <v>19763</v>
      </c>
      <c r="D10" s="247">
        <v>49294</v>
      </c>
      <c r="E10" s="247">
        <v>2785</v>
      </c>
      <c r="F10" s="247">
        <v>2439</v>
      </c>
      <c r="G10" s="247">
        <v>225</v>
      </c>
      <c r="H10" s="247">
        <v>284.57</v>
      </c>
    </row>
    <row r="11" spans="1:8" ht="13.5">
      <c r="A11" s="256">
        <v>6</v>
      </c>
      <c r="B11" s="258" t="s">
        <v>289</v>
      </c>
      <c r="C11" s="247">
        <v>315</v>
      </c>
      <c r="D11" s="247">
        <v>391.84</v>
      </c>
      <c r="E11" s="247">
        <v>296</v>
      </c>
      <c r="F11" s="247">
        <v>365.55</v>
      </c>
      <c r="G11" s="247">
        <v>38</v>
      </c>
      <c r="H11" s="247">
        <v>125.56</v>
      </c>
    </row>
    <row r="12" spans="1:8" ht="13.5">
      <c r="A12" s="256">
        <v>7</v>
      </c>
      <c r="B12" s="257" t="s">
        <v>62</v>
      </c>
      <c r="C12" s="247">
        <v>10679</v>
      </c>
      <c r="D12" s="247">
        <v>180975</v>
      </c>
      <c r="E12" s="247">
        <v>7151</v>
      </c>
      <c r="F12" s="247">
        <v>102151</v>
      </c>
      <c r="G12" s="247">
        <v>532</v>
      </c>
      <c r="H12" s="247">
        <v>2180</v>
      </c>
    </row>
    <row r="13" spans="1:8" ht="13.5">
      <c r="A13" s="256">
        <v>8</v>
      </c>
      <c r="B13" s="257" t="s">
        <v>63</v>
      </c>
      <c r="C13" s="247">
        <f>30137+36366</f>
        <v>66503</v>
      </c>
      <c r="D13" s="247">
        <f>41717+42411</f>
        <v>84128</v>
      </c>
      <c r="E13" s="247">
        <f>16830+26731</f>
        <v>43561</v>
      </c>
      <c r="F13" s="247">
        <f>7485+8146</f>
        <v>15631</v>
      </c>
      <c r="G13" s="247">
        <f>589+1359</f>
        <v>1948</v>
      </c>
      <c r="H13" s="247">
        <f>1029+2243</f>
        <v>3272</v>
      </c>
    </row>
    <row r="14" spans="1:8" ht="13.5">
      <c r="A14" s="256">
        <v>9</v>
      </c>
      <c r="B14" s="257" t="s">
        <v>50</v>
      </c>
      <c r="C14" s="247">
        <v>1042</v>
      </c>
      <c r="D14" s="247">
        <v>3518</v>
      </c>
      <c r="E14" s="247">
        <v>136</v>
      </c>
      <c r="F14" s="247">
        <v>385</v>
      </c>
      <c r="G14" s="247">
        <v>85</v>
      </c>
      <c r="H14" s="247">
        <v>202</v>
      </c>
    </row>
    <row r="15" spans="1:8" ht="13.5">
      <c r="A15" s="256">
        <v>10</v>
      </c>
      <c r="B15" s="257" t="s">
        <v>51</v>
      </c>
      <c r="C15" s="247">
        <v>5782</v>
      </c>
      <c r="D15" s="247">
        <v>11549</v>
      </c>
      <c r="E15" s="247">
        <v>2928</v>
      </c>
      <c r="F15" s="247">
        <v>721</v>
      </c>
      <c r="G15" s="247">
        <v>356</v>
      </c>
      <c r="H15" s="247">
        <v>1081</v>
      </c>
    </row>
    <row r="16" spans="1:8" ht="13.5">
      <c r="A16" s="256">
        <v>11</v>
      </c>
      <c r="B16" s="257" t="s">
        <v>290</v>
      </c>
      <c r="C16" s="247">
        <v>1910</v>
      </c>
      <c r="D16" s="247">
        <v>4043</v>
      </c>
      <c r="E16" s="247">
        <v>805</v>
      </c>
      <c r="F16" s="247">
        <v>372</v>
      </c>
      <c r="G16" s="247">
        <v>92</v>
      </c>
      <c r="H16" s="247">
        <v>621</v>
      </c>
    </row>
    <row r="17" spans="1:8" ht="13.5">
      <c r="A17" s="256">
        <v>12</v>
      </c>
      <c r="B17" s="257" t="s">
        <v>64</v>
      </c>
      <c r="C17" s="247">
        <v>843</v>
      </c>
      <c r="D17" s="247">
        <v>1997.21</v>
      </c>
      <c r="E17" s="247">
        <v>114</v>
      </c>
      <c r="F17" s="247">
        <v>84</v>
      </c>
      <c r="G17" s="247">
        <v>49</v>
      </c>
      <c r="H17" s="247">
        <v>124</v>
      </c>
    </row>
    <row r="18" spans="1:8" ht="13.5">
      <c r="A18" s="256">
        <v>13</v>
      </c>
      <c r="B18" s="257" t="s">
        <v>65</v>
      </c>
      <c r="C18" s="247">
        <v>2187</v>
      </c>
      <c r="D18" s="247">
        <v>9897</v>
      </c>
      <c r="E18" s="247">
        <v>433</v>
      </c>
      <c r="F18" s="247">
        <v>177.53</v>
      </c>
      <c r="G18" s="247">
        <v>59</v>
      </c>
      <c r="H18" s="247">
        <v>138</v>
      </c>
    </row>
    <row r="19" spans="1:8" ht="13.5">
      <c r="A19" s="256">
        <v>14</v>
      </c>
      <c r="B19" s="151" t="s">
        <v>291</v>
      </c>
      <c r="C19" s="247">
        <v>5501</v>
      </c>
      <c r="D19" s="247">
        <v>15111.93</v>
      </c>
      <c r="E19" s="247">
        <v>2400</v>
      </c>
      <c r="F19" s="247">
        <v>1164.37</v>
      </c>
      <c r="G19" s="247">
        <v>334</v>
      </c>
      <c r="H19" s="247">
        <v>2503.03</v>
      </c>
    </row>
    <row r="20" spans="1:8" ht="13.5">
      <c r="A20" s="256">
        <v>15</v>
      </c>
      <c r="B20" s="257" t="s">
        <v>292</v>
      </c>
      <c r="C20" s="247">
        <v>2458</v>
      </c>
      <c r="D20" s="247">
        <v>6377</v>
      </c>
      <c r="E20" s="247">
        <v>74</v>
      </c>
      <c r="F20" s="247">
        <v>191</v>
      </c>
      <c r="G20" s="247">
        <v>17</v>
      </c>
      <c r="H20" s="247">
        <v>34</v>
      </c>
    </row>
    <row r="21" spans="1:8" ht="13.5">
      <c r="A21" s="256">
        <v>16</v>
      </c>
      <c r="B21" s="257" t="s">
        <v>66</v>
      </c>
      <c r="C21" s="247">
        <v>54201</v>
      </c>
      <c r="D21" s="247">
        <v>104518</v>
      </c>
      <c r="E21" s="247">
        <v>38746</v>
      </c>
      <c r="F21" s="247">
        <v>34689</v>
      </c>
      <c r="G21" s="247">
        <v>13185</v>
      </c>
      <c r="H21" s="247">
        <v>24521</v>
      </c>
    </row>
    <row r="22" spans="1:8" ht="13.5">
      <c r="A22" s="256">
        <v>17</v>
      </c>
      <c r="B22" s="152" t="s">
        <v>67</v>
      </c>
      <c r="C22" s="247">
        <v>7549</v>
      </c>
      <c r="D22" s="247">
        <v>41136</v>
      </c>
      <c r="E22" s="247">
        <v>2623</v>
      </c>
      <c r="F22" s="247">
        <v>1095</v>
      </c>
      <c r="G22" s="247">
        <v>1295</v>
      </c>
      <c r="H22" s="247">
        <v>5637</v>
      </c>
    </row>
    <row r="23" spans="1:8" ht="13.5">
      <c r="A23" s="256">
        <v>18</v>
      </c>
      <c r="B23" s="153" t="s">
        <v>253</v>
      </c>
      <c r="C23" s="247">
        <v>11520</v>
      </c>
      <c r="D23" s="247">
        <v>28635</v>
      </c>
      <c r="E23" s="247">
        <v>7528</v>
      </c>
      <c r="F23" s="247">
        <v>6540</v>
      </c>
      <c r="G23" s="247">
        <v>210</v>
      </c>
      <c r="H23" s="247">
        <v>725</v>
      </c>
    </row>
    <row r="24" spans="1:8" ht="13.5">
      <c r="A24" s="256">
        <v>19</v>
      </c>
      <c r="B24" s="154" t="s">
        <v>68</v>
      </c>
      <c r="C24" s="247">
        <v>34636</v>
      </c>
      <c r="D24" s="247">
        <v>66055.12</v>
      </c>
      <c r="E24" s="247">
        <v>9089</v>
      </c>
      <c r="F24" s="247">
        <v>2125.02</v>
      </c>
      <c r="G24" s="247">
        <v>314</v>
      </c>
      <c r="H24" s="247">
        <v>72.56</v>
      </c>
    </row>
    <row r="25" spans="1:8" ht="13.5">
      <c r="A25" s="256">
        <v>20</v>
      </c>
      <c r="B25" s="257" t="s">
        <v>69</v>
      </c>
      <c r="C25" s="247">
        <v>161</v>
      </c>
      <c r="D25" s="247">
        <v>2531</v>
      </c>
      <c r="E25" s="247">
        <v>3</v>
      </c>
      <c r="F25" s="247">
        <v>3</v>
      </c>
      <c r="G25" s="247">
        <v>3</v>
      </c>
      <c r="H25" s="247">
        <v>3</v>
      </c>
    </row>
    <row r="26" spans="1:8" ht="13.5">
      <c r="A26" s="256">
        <v>21</v>
      </c>
      <c r="B26" s="257" t="s">
        <v>52</v>
      </c>
      <c r="C26" s="247">
        <v>1494</v>
      </c>
      <c r="D26" s="247">
        <v>3523.3</v>
      </c>
      <c r="E26" s="247">
        <v>121</v>
      </c>
      <c r="F26" s="247">
        <v>101.25</v>
      </c>
      <c r="G26" s="247">
        <v>59</v>
      </c>
      <c r="H26" s="247">
        <v>211.88</v>
      </c>
    </row>
    <row r="27" spans="1:8" ht="13.5">
      <c r="A27" s="289"/>
      <c r="B27" s="259" t="s">
        <v>293</v>
      </c>
      <c r="C27" s="251">
        <f aca="true" t="shared" si="0" ref="C27:H27">SUM(C6:C26)</f>
        <v>978183</v>
      </c>
      <c r="D27" s="251">
        <f t="shared" si="0"/>
        <v>1154097.01</v>
      </c>
      <c r="E27" s="251">
        <f t="shared" si="0"/>
        <v>214841</v>
      </c>
      <c r="F27" s="251">
        <f t="shared" si="0"/>
        <v>235076.71999999997</v>
      </c>
      <c r="G27" s="251">
        <f t="shared" si="0"/>
        <v>53315</v>
      </c>
      <c r="H27" s="251">
        <f t="shared" si="0"/>
        <v>63559.74999999999</v>
      </c>
    </row>
    <row r="28" spans="1:8" ht="13.5">
      <c r="A28" s="256">
        <v>22</v>
      </c>
      <c r="B28" s="257" t="s">
        <v>294</v>
      </c>
      <c r="C28" s="247">
        <v>76</v>
      </c>
      <c r="D28" s="247">
        <v>623.64</v>
      </c>
      <c r="E28" s="247">
        <v>31</v>
      </c>
      <c r="F28" s="247">
        <v>298.07</v>
      </c>
      <c r="G28" s="247">
        <v>3</v>
      </c>
      <c r="H28" s="247">
        <v>5.69</v>
      </c>
    </row>
    <row r="29" spans="1:8" ht="13.5">
      <c r="A29" s="256">
        <v>23</v>
      </c>
      <c r="B29" s="257" t="s">
        <v>295</v>
      </c>
      <c r="C29" s="247">
        <v>21</v>
      </c>
      <c r="D29" s="247">
        <v>145.42</v>
      </c>
      <c r="E29" s="247">
        <v>5</v>
      </c>
      <c r="F29" s="247">
        <v>4</v>
      </c>
      <c r="G29" s="247">
        <v>0</v>
      </c>
      <c r="H29" s="247">
        <v>0</v>
      </c>
    </row>
    <row r="30" spans="1:8" ht="13.5">
      <c r="A30" s="256">
        <v>24</v>
      </c>
      <c r="B30" s="257" t="s">
        <v>296</v>
      </c>
      <c r="C30" s="247">
        <v>60</v>
      </c>
      <c r="D30" s="247">
        <v>211.91</v>
      </c>
      <c r="E30" s="247">
        <v>0</v>
      </c>
      <c r="F30" s="247">
        <v>0</v>
      </c>
      <c r="G30" s="247">
        <v>1</v>
      </c>
      <c r="H30" s="247">
        <v>12</v>
      </c>
    </row>
    <row r="31" spans="1:8" ht="13.5">
      <c r="A31" s="256">
        <v>25</v>
      </c>
      <c r="B31" s="258" t="s">
        <v>297</v>
      </c>
      <c r="C31" s="247">
        <v>0</v>
      </c>
      <c r="D31" s="247">
        <v>0</v>
      </c>
      <c r="E31" s="247">
        <v>0</v>
      </c>
      <c r="F31" s="247">
        <v>0</v>
      </c>
      <c r="G31" s="247">
        <v>0</v>
      </c>
      <c r="H31" s="247">
        <v>0</v>
      </c>
    </row>
    <row r="32" spans="1:8" ht="13.5">
      <c r="A32" s="256">
        <v>26</v>
      </c>
      <c r="B32" s="257" t="s">
        <v>298</v>
      </c>
      <c r="C32" s="247">
        <v>994</v>
      </c>
      <c r="D32" s="247">
        <v>3082.97</v>
      </c>
      <c r="E32" s="247"/>
      <c r="F32" s="247"/>
      <c r="G32" s="247">
        <v>569</v>
      </c>
      <c r="H32" s="247">
        <v>1653.17</v>
      </c>
    </row>
    <row r="33" spans="1:8" ht="13.5">
      <c r="A33" s="256">
        <v>27</v>
      </c>
      <c r="B33" s="257" t="s">
        <v>72</v>
      </c>
      <c r="C33" s="247">
        <v>75105</v>
      </c>
      <c r="D33" s="247">
        <v>37727</v>
      </c>
      <c r="E33" s="247">
        <v>84499</v>
      </c>
      <c r="F33" s="247">
        <v>41141</v>
      </c>
      <c r="G33" s="247">
        <v>12205</v>
      </c>
      <c r="H33" s="247">
        <v>30041</v>
      </c>
    </row>
    <row r="34" spans="1:8" ht="13.5">
      <c r="A34" s="289"/>
      <c r="B34" s="259" t="s">
        <v>299</v>
      </c>
      <c r="C34" s="251">
        <f aca="true" t="shared" si="1" ref="C34:H34">SUM(C28:C33)</f>
        <v>76256</v>
      </c>
      <c r="D34" s="251">
        <f t="shared" si="1"/>
        <v>41790.94</v>
      </c>
      <c r="E34" s="251">
        <f t="shared" si="1"/>
        <v>84535</v>
      </c>
      <c r="F34" s="251">
        <f t="shared" si="1"/>
        <v>41443.07</v>
      </c>
      <c r="G34" s="251">
        <f t="shared" si="1"/>
        <v>12778</v>
      </c>
      <c r="H34" s="251">
        <f t="shared" si="1"/>
        <v>31711.86</v>
      </c>
    </row>
    <row r="35" spans="1:8" ht="13.5">
      <c r="A35" s="256">
        <v>28</v>
      </c>
      <c r="B35" s="257" t="s">
        <v>49</v>
      </c>
      <c r="C35" s="247">
        <v>97394</v>
      </c>
      <c r="D35" s="247">
        <v>28505.42</v>
      </c>
      <c r="E35" s="247">
        <v>0</v>
      </c>
      <c r="F35" s="247">
        <v>0</v>
      </c>
      <c r="G35" s="247">
        <v>21074</v>
      </c>
      <c r="H35" s="247">
        <v>8076.57</v>
      </c>
    </row>
    <row r="36" spans="1:8" ht="13.5">
      <c r="A36" s="256">
        <v>29</v>
      </c>
      <c r="B36" s="198" t="s">
        <v>53</v>
      </c>
      <c r="C36" s="247">
        <v>8</v>
      </c>
      <c r="D36" s="247">
        <v>2.9819793</v>
      </c>
      <c r="E36" s="247">
        <v>0</v>
      </c>
      <c r="F36" s="247">
        <v>0</v>
      </c>
      <c r="G36" s="247">
        <v>0</v>
      </c>
      <c r="H36" s="247">
        <v>0</v>
      </c>
    </row>
    <row r="37" spans="1:8" ht="13.5">
      <c r="A37" s="256">
        <v>30</v>
      </c>
      <c r="B37" s="198" t="s">
        <v>300</v>
      </c>
      <c r="C37" s="247"/>
      <c r="D37" s="247"/>
      <c r="E37" s="247"/>
      <c r="F37" s="247"/>
      <c r="G37" s="247"/>
      <c r="H37" s="247"/>
    </row>
    <row r="38" spans="1:8" ht="13.5">
      <c r="A38" s="256">
        <v>31</v>
      </c>
      <c r="B38" s="257" t="s">
        <v>301</v>
      </c>
      <c r="C38" s="247">
        <v>1</v>
      </c>
      <c r="D38" s="247">
        <v>2.94</v>
      </c>
      <c r="E38" s="247">
        <v>3</v>
      </c>
      <c r="F38" s="247">
        <v>0.92</v>
      </c>
      <c r="G38" s="247">
        <v>0</v>
      </c>
      <c r="H38" s="247">
        <v>0</v>
      </c>
    </row>
    <row r="39" spans="1:8" ht="13.5">
      <c r="A39" s="256">
        <v>32</v>
      </c>
      <c r="B39" s="257" t="s">
        <v>302</v>
      </c>
      <c r="C39" s="247">
        <v>932</v>
      </c>
      <c r="D39" s="247">
        <v>1395.92</v>
      </c>
      <c r="E39" s="247">
        <v>592</v>
      </c>
      <c r="F39" s="247">
        <v>226.05</v>
      </c>
      <c r="G39" s="247">
        <v>414</v>
      </c>
      <c r="H39" s="247">
        <v>587.01</v>
      </c>
    </row>
    <row r="40" spans="1:8" ht="13.5">
      <c r="A40" s="256">
        <v>33</v>
      </c>
      <c r="B40" s="257" t="s">
        <v>303</v>
      </c>
      <c r="C40" s="247">
        <v>134616</v>
      </c>
      <c r="D40" s="247">
        <v>44230.938757347765</v>
      </c>
      <c r="E40" s="247">
        <v>0</v>
      </c>
      <c r="F40" s="247">
        <v>0</v>
      </c>
      <c r="G40" s="247">
        <v>21880</v>
      </c>
      <c r="H40" s="247">
        <v>9177.264379999991</v>
      </c>
    </row>
    <row r="41" spans="1:8" ht="13.5">
      <c r="A41" s="256">
        <v>34</v>
      </c>
      <c r="B41" s="257" t="s">
        <v>304</v>
      </c>
      <c r="C41" s="247">
        <v>41114</v>
      </c>
      <c r="D41" s="247">
        <v>181422.0947407</v>
      </c>
      <c r="E41" s="247">
        <v>0</v>
      </c>
      <c r="F41" s="247">
        <v>0</v>
      </c>
      <c r="G41" s="247">
        <v>5239</v>
      </c>
      <c r="H41" s="247">
        <v>16060.2633034</v>
      </c>
    </row>
    <row r="42" spans="1:8" ht="13.5">
      <c r="A42" s="256">
        <v>35</v>
      </c>
      <c r="B42" s="257" t="s">
        <v>305</v>
      </c>
      <c r="C42" s="247">
        <v>0</v>
      </c>
      <c r="D42" s="247">
        <v>0</v>
      </c>
      <c r="E42" s="247">
        <v>0</v>
      </c>
      <c r="F42" s="247">
        <v>0</v>
      </c>
      <c r="G42" s="247">
        <v>0</v>
      </c>
      <c r="H42" s="247">
        <v>0</v>
      </c>
    </row>
    <row r="43" spans="1:8" ht="13.5">
      <c r="A43" s="256">
        <v>36</v>
      </c>
      <c r="B43" s="257" t="s">
        <v>255</v>
      </c>
      <c r="C43" s="247">
        <v>0</v>
      </c>
      <c r="D43" s="247">
        <v>0</v>
      </c>
      <c r="E43" s="247">
        <v>0</v>
      </c>
      <c r="F43" s="247">
        <v>0</v>
      </c>
      <c r="G43" s="247">
        <v>189964</v>
      </c>
      <c r="H43" s="247">
        <v>41133</v>
      </c>
    </row>
    <row r="44" spans="1:8" ht="13.5">
      <c r="A44" s="256">
        <v>37</v>
      </c>
      <c r="B44" s="257" t="s">
        <v>306</v>
      </c>
      <c r="C44" s="247">
        <v>45</v>
      </c>
      <c r="D44" s="247">
        <v>155</v>
      </c>
      <c r="E44" s="247">
        <v>6</v>
      </c>
      <c r="F44" s="247">
        <v>5</v>
      </c>
      <c r="G44" s="247">
        <v>2</v>
      </c>
      <c r="H44" s="247">
        <v>0.8</v>
      </c>
    </row>
    <row r="45" spans="1:8" ht="13.5">
      <c r="A45" s="256">
        <v>38</v>
      </c>
      <c r="B45" s="257" t="s">
        <v>307</v>
      </c>
      <c r="C45" s="247">
        <v>182</v>
      </c>
      <c r="D45" s="247">
        <v>2802</v>
      </c>
      <c r="E45" s="247">
        <v>82</v>
      </c>
      <c r="F45" s="247">
        <v>1200</v>
      </c>
      <c r="G45" s="247">
        <v>22</v>
      </c>
      <c r="H45" s="247">
        <v>200</v>
      </c>
    </row>
    <row r="46" spans="1:8" ht="13.5">
      <c r="A46" s="256">
        <v>39</v>
      </c>
      <c r="B46" s="257" t="s">
        <v>95</v>
      </c>
      <c r="C46" s="247">
        <v>0</v>
      </c>
      <c r="D46" s="247">
        <v>9</v>
      </c>
      <c r="E46" s="247">
        <v>280</v>
      </c>
      <c r="F46" s="247">
        <v>0</v>
      </c>
      <c r="G46" s="247">
        <v>3</v>
      </c>
      <c r="H46" s="247">
        <v>17.5</v>
      </c>
    </row>
    <row r="47" spans="1:8" ht="13.5">
      <c r="A47" s="256">
        <v>40</v>
      </c>
      <c r="B47" s="257" t="s">
        <v>308</v>
      </c>
      <c r="C47" s="247">
        <v>0</v>
      </c>
      <c r="D47" s="247">
        <v>0</v>
      </c>
      <c r="E47" s="247">
        <v>0</v>
      </c>
      <c r="F47" s="247">
        <v>0</v>
      </c>
      <c r="G47" s="247">
        <v>0</v>
      </c>
      <c r="H47" s="247">
        <v>0</v>
      </c>
    </row>
    <row r="48" spans="1:8" ht="13.5">
      <c r="A48" s="256">
        <v>41</v>
      </c>
      <c r="B48" s="257" t="s">
        <v>309</v>
      </c>
      <c r="C48" s="247">
        <v>20</v>
      </c>
      <c r="D48" s="247">
        <v>317.49</v>
      </c>
      <c r="E48" s="247">
        <v>4</v>
      </c>
      <c r="F48" s="247">
        <v>0.77</v>
      </c>
      <c r="G48" s="247">
        <v>2</v>
      </c>
      <c r="H48" s="247">
        <v>9</v>
      </c>
    </row>
    <row r="49" spans="1:8" ht="13.5">
      <c r="A49" s="256">
        <v>42</v>
      </c>
      <c r="B49" s="260" t="s">
        <v>310</v>
      </c>
      <c r="C49" s="247">
        <v>47</v>
      </c>
      <c r="D49" s="247">
        <v>171</v>
      </c>
      <c r="E49" s="247">
        <v>0</v>
      </c>
      <c r="F49" s="247">
        <v>0</v>
      </c>
      <c r="G49" s="247">
        <v>1</v>
      </c>
      <c r="H49" s="247">
        <v>10</v>
      </c>
    </row>
    <row r="50" spans="1:8" ht="13.5">
      <c r="A50" s="256">
        <v>43</v>
      </c>
      <c r="B50" s="257" t="s">
        <v>311</v>
      </c>
      <c r="C50" s="247">
        <v>163601</v>
      </c>
      <c r="D50" s="247">
        <v>20172.910861360197</v>
      </c>
      <c r="E50" s="247">
        <v>26068</v>
      </c>
      <c r="F50" s="247">
        <v>5319.88</v>
      </c>
      <c r="G50" s="247">
        <v>26068</v>
      </c>
      <c r="H50" s="247">
        <v>5319.880000000041</v>
      </c>
    </row>
    <row r="51" spans="1:8" ht="13.5">
      <c r="A51" s="256">
        <v>44</v>
      </c>
      <c r="B51" s="257" t="s">
        <v>78</v>
      </c>
      <c r="C51" s="247">
        <v>0</v>
      </c>
      <c r="D51" s="247">
        <v>0</v>
      </c>
      <c r="E51" s="247">
        <v>0</v>
      </c>
      <c r="F51" s="247">
        <v>0</v>
      </c>
      <c r="G51" s="247">
        <v>0</v>
      </c>
      <c r="H51" s="247">
        <v>0</v>
      </c>
    </row>
    <row r="52" spans="1:8" ht="13.5">
      <c r="A52" s="207"/>
      <c r="B52" s="259" t="s">
        <v>274</v>
      </c>
      <c r="C52" s="251">
        <f aca="true" t="shared" si="2" ref="C52:H52">SUM(C35:C51)</f>
        <v>437960</v>
      </c>
      <c r="D52" s="251">
        <f t="shared" si="2"/>
        <v>279187.69633870793</v>
      </c>
      <c r="E52" s="251">
        <f t="shared" si="2"/>
        <v>27035</v>
      </c>
      <c r="F52" s="251">
        <f t="shared" si="2"/>
        <v>6752.62</v>
      </c>
      <c r="G52" s="251">
        <f t="shared" si="2"/>
        <v>264669</v>
      </c>
      <c r="H52" s="251">
        <f t="shared" si="2"/>
        <v>80591.28768340003</v>
      </c>
    </row>
    <row r="53" spans="1:8" ht="13.5">
      <c r="A53" s="256">
        <v>45</v>
      </c>
      <c r="B53" s="257" t="s">
        <v>48</v>
      </c>
      <c r="C53" s="247">
        <v>141687</v>
      </c>
      <c r="D53" s="247">
        <v>96348</v>
      </c>
      <c r="E53" s="247">
        <v>2453</v>
      </c>
      <c r="F53" s="247">
        <v>1472</v>
      </c>
      <c r="G53" s="247">
        <v>2777</v>
      </c>
      <c r="H53" s="247">
        <v>2513</v>
      </c>
    </row>
    <row r="54" spans="1:8" ht="13.5">
      <c r="A54" s="256">
        <v>46</v>
      </c>
      <c r="B54" s="257" t="s">
        <v>269</v>
      </c>
      <c r="C54" s="247">
        <v>27550</v>
      </c>
      <c r="D54" s="247">
        <v>17407</v>
      </c>
      <c r="E54" s="247">
        <v>4807</v>
      </c>
      <c r="F54" s="247">
        <v>3894</v>
      </c>
      <c r="G54" s="247">
        <v>2901</v>
      </c>
      <c r="H54" s="247">
        <v>4590</v>
      </c>
    </row>
    <row r="55" spans="1:8" ht="13.5">
      <c r="A55" s="256">
        <v>47</v>
      </c>
      <c r="B55" s="257" t="s">
        <v>54</v>
      </c>
      <c r="C55" s="247">
        <v>48576</v>
      </c>
      <c r="D55" s="247">
        <v>92374.5</v>
      </c>
      <c r="E55" s="247">
        <v>48435</v>
      </c>
      <c r="F55" s="247">
        <v>92304</v>
      </c>
      <c r="G55" s="247">
        <v>541</v>
      </c>
      <c r="H55" s="247">
        <v>615</v>
      </c>
    </row>
    <row r="56" spans="1:8" ht="13.5">
      <c r="A56" s="207"/>
      <c r="B56" s="259" t="s">
        <v>270</v>
      </c>
      <c r="C56" s="251">
        <f aca="true" t="shared" si="3" ref="C56:H56">SUM(C53:C55)</f>
        <v>217813</v>
      </c>
      <c r="D56" s="251">
        <f t="shared" si="3"/>
        <v>206129.5</v>
      </c>
      <c r="E56" s="251">
        <f t="shared" si="3"/>
        <v>55695</v>
      </c>
      <c r="F56" s="251">
        <f t="shared" si="3"/>
        <v>97670</v>
      </c>
      <c r="G56" s="251">
        <f t="shared" si="3"/>
        <v>6219</v>
      </c>
      <c r="H56" s="251">
        <f t="shared" si="3"/>
        <v>7718</v>
      </c>
    </row>
    <row r="57" spans="1:8" ht="13.5">
      <c r="A57" s="256">
        <v>48</v>
      </c>
      <c r="B57" s="257" t="s">
        <v>312</v>
      </c>
      <c r="C57" s="247">
        <v>0</v>
      </c>
      <c r="D57" s="247">
        <v>0</v>
      </c>
      <c r="E57" s="247">
        <v>0</v>
      </c>
      <c r="F57" s="247">
        <v>0</v>
      </c>
      <c r="G57" s="247">
        <v>0</v>
      </c>
      <c r="H57" s="247">
        <v>0</v>
      </c>
    </row>
    <row r="58" spans="1:8" ht="13.5">
      <c r="A58" s="207"/>
      <c r="B58" s="259" t="s">
        <v>275</v>
      </c>
      <c r="C58" s="251">
        <f aca="true" t="shared" si="4" ref="C58:H58">C57</f>
        <v>0</v>
      </c>
      <c r="D58" s="251">
        <f t="shared" si="4"/>
        <v>0</v>
      </c>
      <c r="E58" s="251">
        <f t="shared" si="4"/>
        <v>0</v>
      </c>
      <c r="F58" s="251">
        <f t="shared" si="4"/>
        <v>0</v>
      </c>
      <c r="G58" s="251">
        <f t="shared" si="4"/>
        <v>0</v>
      </c>
      <c r="H58" s="251">
        <f t="shared" si="4"/>
        <v>0</v>
      </c>
    </row>
    <row r="59" spans="1:8" ht="13.5">
      <c r="A59" s="207"/>
      <c r="B59" s="259" t="s">
        <v>276</v>
      </c>
      <c r="C59" s="251">
        <f aca="true" t="shared" si="5" ref="C59:H59">C58+C56+C52+C34+C27</f>
        <v>1710212</v>
      </c>
      <c r="D59" s="251">
        <f t="shared" si="5"/>
        <v>1681205.146338708</v>
      </c>
      <c r="E59" s="251">
        <f t="shared" si="5"/>
        <v>382106</v>
      </c>
      <c r="F59" s="251">
        <f t="shared" si="5"/>
        <v>380942.41</v>
      </c>
      <c r="G59" s="251">
        <f t="shared" si="5"/>
        <v>336981</v>
      </c>
      <c r="H59" s="251">
        <f t="shared" si="5"/>
        <v>183580.89768340002</v>
      </c>
    </row>
  </sheetData>
  <sheetProtection/>
  <mergeCells count="7">
    <mergeCell ref="A1:H1"/>
    <mergeCell ref="B3:D3"/>
    <mergeCell ref="A4:A5"/>
    <mergeCell ref="B4:B5"/>
    <mergeCell ref="C4:D4"/>
    <mergeCell ref="G4:H4"/>
    <mergeCell ref="E4:F4"/>
  </mergeCells>
  <conditionalFormatting sqref="B6">
    <cfRule type="duplicateValues" priority="1" dxfId="197">
      <formula>AND(COUNTIF($B$6:$B$6,B6)&gt;1,NOT(ISBLANK(B6)))</formula>
    </cfRule>
  </conditionalFormatting>
  <conditionalFormatting sqref="B22">
    <cfRule type="duplicateValues" priority="2" dxfId="197">
      <formula>AND(COUNTIF($B$22:$B$22,B22)&gt;1,NOT(ISBLANK(B22)))</formula>
    </cfRule>
  </conditionalFormatting>
  <conditionalFormatting sqref="B33:B34 B26:B30">
    <cfRule type="duplicateValues" priority="3" dxfId="197">
      <formula>AND(COUNTIF($B$33:$B$34,B26)+COUNTIF($B$26:$B$30,B26)&gt;1,NOT(ISBLANK(B26)))</formula>
    </cfRule>
  </conditionalFormatting>
  <conditionalFormatting sqref="B52">
    <cfRule type="duplicateValues" priority="4" dxfId="197">
      <formula>AND(COUNTIF($B$52:$B$52,B52)&gt;1,NOT(ISBLANK(B52)))</formula>
    </cfRule>
  </conditionalFormatting>
  <conditionalFormatting sqref="B56">
    <cfRule type="duplicateValues" priority="5" dxfId="197">
      <formula>AND(COUNTIF($B$56:$B$56,B56)&gt;1,NOT(ISBLANK(B56)))</formula>
    </cfRule>
  </conditionalFormatting>
  <conditionalFormatting sqref="B58">
    <cfRule type="duplicateValues" priority="6" dxfId="197">
      <formula>AND(COUNTIF($B$58:$B$58,B58)&gt;1,NOT(ISBLANK(B58)))</formula>
    </cfRule>
  </conditionalFormatting>
  <printOptions/>
  <pageMargins left="0.7" right="0.7" top="0.75" bottom="0.75" header="0.3" footer="0.3"/>
  <pageSetup horizontalDpi="600" verticalDpi="600" orientation="portrait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5" sqref="J5"/>
    </sheetView>
  </sheetViews>
  <sheetFormatPr defaultColWidth="9.140625" defaultRowHeight="12.75"/>
  <cols>
    <col min="1" max="1" width="9.140625" style="346" customWidth="1"/>
    <col min="2" max="2" width="16.8515625" style="346" customWidth="1"/>
    <col min="3" max="3" width="29.57421875" style="346" customWidth="1"/>
    <col min="4" max="4" width="12.28125" style="346" customWidth="1"/>
    <col min="5" max="5" width="17.140625" style="346" customWidth="1"/>
    <col min="6" max="6" width="15.57421875" style="346" customWidth="1"/>
    <col min="7" max="16384" width="9.140625" style="346" customWidth="1"/>
  </cols>
  <sheetData>
    <row r="1" spans="1:6" ht="31.5" customHeight="1">
      <c r="A1" s="672" t="s">
        <v>467</v>
      </c>
      <c r="B1" s="672"/>
      <c r="C1" s="672"/>
      <c r="D1" s="672"/>
      <c r="E1" s="672"/>
      <c r="F1" s="672"/>
    </row>
    <row r="2" spans="1:6" ht="2.25" customHeight="1">
      <c r="A2" s="347"/>
      <c r="B2" s="348"/>
      <c r="C2" s="348"/>
      <c r="D2" s="348"/>
      <c r="E2" s="348"/>
      <c r="F2" s="349"/>
    </row>
    <row r="3" spans="1:6" ht="14.25">
      <c r="A3" s="673" t="s">
        <v>346</v>
      </c>
      <c r="B3" s="674"/>
      <c r="C3" s="674"/>
      <c r="D3" s="674"/>
      <c r="E3" s="674"/>
      <c r="F3" s="675"/>
    </row>
    <row r="4" spans="1:6" ht="12.75">
      <c r="A4" s="347"/>
      <c r="B4" s="348"/>
      <c r="C4" s="348"/>
      <c r="D4" s="348"/>
      <c r="E4" s="676" t="s">
        <v>347</v>
      </c>
      <c r="F4" s="677"/>
    </row>
    <row r="5" spans="1:6" ht="12.75">
      <c r="A5" s="350" t="s">
        <v>348</v>
      </c>
      <c r="B5" s="351"/>
      <c r="C5" s="352"/>
      <c r="D5" s="348"/>
      <c r="E5" s="348"/>
      <c r="F5" s="349"/>
    </row>
    <row r="6" spans="1:6" ht="12.75">
      <c r="A6" s="347"/>
      <c r="B6" s="348"/>
      <c r="C6" s="348"/>
      <c r="D6" s="348"/>
      <c r="E6" s="348"/>
      <c r="F6" s="349"/>
    </row>
    <row r="7" spans="1:6" ht="12.75">
      <c r="A7" s="350" t="s">
        <v>349</v>
      </c>
      <c r="B7" s="351"/>
      <c r="C7" s="352"/>
      <c r="D7" s="350" t="s">
        <v>350</v>
      </c>
      <c r="E7" s="351"/>
      <c r="F7" s="352"/>
    </row>
    <row r="8" spans="1:6" ht="12.75">
      <c r="A8" s="353"/>
      <c r="B8" s="354"/>
      <c r="C8" s="354"/>
      <c r="D8" s="354"/>
      <c r="E8" s="354"/>
      <c r="F8" s="355"/>
    </row>
    <row r="9" spans="1:6" ht="32.25" customHeight="1">
      <c r="A9" s="678" t="s">
        <v>106</v>
      </c>
      <c r="B9" s="678" t="s">
        <v>351</v>
      </c>
      <c r="C9" s="679" t="s">
        <v>352</v>
      </c>
      <c r="D9" s="679" t="s">
        <v>353</v>
      </c>
      <c r="E9" s="680" t="s">
        <v>354</v>
      </c>
      <c r="F9" s="681"/>
    </row>
    <row r="10" spans="1:6" ht="34.5" customHeight="1">
      <c r="A10" s="678"/>
      <c r="B10" s="678"/>
      <c r="C10" s="679"/>
      <c r="D10" s="679"/>
      <c r="E10" s="682" t="s">
        <v>355</v>
      </c>
      <c r="F10" s="682" t="s">
        <v>356</v>
      </c>
    </row>
    <row r="11" spans="1:6" ht="34.5" customHeight="1">
      <c r="A11" s="678"/>
      <c r="B11" s="678"/>
      <c r="C11" s="679"/>
      <c r="D11" s="679"/>
      <c r="E11" s="683"/>
      <c r="F11" s="683"/>
    </row>
    <row r="12" spans="1:6" ht="12.75">
      <c r="A12" s="356">
        <v>1</v>
      </c>
      <c r="B12" s="357" t="s">
        <v>357</v>
      </c>
      <c r="C12" s="357" t="s">
        <v>358</v>
      </c>
      <c r="D12" s="358" t="s">
        <v>359</v>
      </c>
      <c r="E12" s="356">
        <v>0</v>
      </c>
      <c r="F12" s="356">
        <v>0</v>
      </c>
    </row>
    <row r="13" spans="1:6" ht="12.75">
      <c r="A13" s="356"/>
      <c r="B13" s="357"/>
      <c r="C13" s="357" t="s">
        <v>360</v>
      </c>
      <c r="D13" s="358" t="s">
        <v>361</v>
      </c>
      <c r="E13" s="356">
        <v>0</v>
      </c>
      <c r="F13" s="356">
        <v>0</v>
      </c>
    </row>
    <row r="14" spans="1:6" ht="12.75">
      <c r="A14" s="356"/>
      <c r="B14" s="357"/>
      <c r="C14" s="357" t="s">
        <v>362</v>
      </c>
      <c r="D14" s="358" t="s">
        <v>363</v>
      </c>
      <c r="E14" s="356">
        <v>0</v>
      </c>
      <c r="F14" s="356">
        <v>0</v>
      </c>
    </row>
    <row r="15" spans="1:6" ht="25.5">
      <c r="A15" s="356"/>
      <c r="B15" s="357"/>
      <c r="C15" s="357" t="s">
        <v>364</v>
      </c>
      <c r="D15" s="358" t="s">
        <v>365</v>
      </c>
      <c r="E15" s="356">
        <v>0</v>
      </c>
      <c r="F15" s="356">
        <v>0</v>
      </c>
    </row>
    <row r="16" spans="1:6" ht="12.75">
      <c r="A16" s="356"/>
      <c r="B16" s="357"/>
      <c r="C16" s="357" t="s">
        <v>366</v>
      </c>
      <c r="D16" s="358" t="s">
        <v>367</v>
      </c>
      <c r="E16" s="356">
        <v>0</v>
      </c>
      <c r="F16" s="356">
        <v>0</v>
      </c>
    </row>
    <row r="17" spans="1:6" ht="12.75">
      <c r="A17" s="356"/>
      <c r="B17" s="357"/>
      <c r="C17" s="357" t="s">
        <v>368</v>
      </c>
      <c r="D17" s="358" t="s">
        <v>369</v>
      </c>
      <c r="E17" s="356">
        <v>0</v>
      </c>
      <c r="F17" s="356">
        <v>0</v>
      </c>
    </row>
    <row r="18" spans="1:6" ht="12.75">
      <c r="A18" s="356"/>
      <c r="B18" s="357"/>
      <c r="C18" s="357"/>
      <c r="D18" s="358"/>
      <c r="E18" s="356"/>
      <c r="F18" s="356"/>
    </row>
    <row r="19" spans="1:6" ht="12.75">
      <c r="A19" s="356">
        <v>2</v>
      </c>
      <c r="B19" s="357" t="s">
        <v>370</v>
      </c>
      <c r="C19" s="359" t="s">
        <v>371</v>
      </c>
      <c r="D19" s="358" t="s">
        <v>372</v>
      </c>
      <c r="E19" s="356">
        <v>0</v>
      </c>
      <c r="F19" s="356">
        <v>0</v>
      </c>
    </row>
    <row r="20" spans="1:6" ht="12.75">
      <c r="A20" s="356"/>
      <c r="B20" s="357"/>
      <c r="C20" s="357" t="s">
        <v>373</v>
      </c>
      <c r="D20" s="358" t="s">
        <v>374</v>
      </c>
      <c r="E20" s="356">
        <v>0</v>
      </c>
      <c r="F20" s="356">
        <v>0</v>
      </c>
    </row>
    <row r="21" spans="1:6" ht="12.75">
      <c r="A21" s="356"/>
      <c r="B21" s="357"/>
      <c r="C21" s="357"/>
      <c r="D21" s="358"/>
      <c r="E21" s="356"/>
      <c r="F21" s="356"/>
    </row>
    <row r="22" spans="1:6" ht="12.75">
      <c r="A22" s="356">
        <v>3</v>
      </c>
      <c r="B22" s="357" t="s">
        <v>375</v>
      </c>
      <c r="C22" s="357" t="s">
        <v>376</v>
      </c>
      <c r="D22" s="358" t="s">
        <v>377</v>
      </c>
      <c r="E22" s="356">
        <v>0</v>
      </c>
      <c r="F22" s="356">
        <v>0</v>
      </c>
    </row>
    <row r="23" spans="1:6" ht="12.75">
      <c r="A23" s="356"/>
      <c r="B23" s="357"/>
      <c r="C23" s="357" t="s">
        <v>378</v>
      </c>
      <c r="D23" s="358" t="s">
        <v>379</v>
      </c>
      <c r="E23" s="356">
        <v>0</v>
      </c>
      <c r="F23" s="356">
        <v>0</v>
      </c>
    </row>
    <row r="24" spans="1:6" ht="12.75">
      <c r="A24" s="356"/>
      <c r="B24" s="357"/>
      <c r="C24" s="357" t="s">
        <v>380</v>
      </c>
      <c r="D24" s="358" t="s">
        <v>381</v>
      </c>
      <c r="E24" s="356">
        <v>0</v>
      </c>
      <c r="F24" s="356">
        <v>0</v>
      </c>
    </row>
    <row r="25" spans="1:6" ht="12.75">
      <c r="A25" s="356"/>
      <c r="B25" s="357"/>
      <c r="C25" s="357" t="s">
        <v>382</v>
      </c>
      <c r="D25" s="358" t="s">
        <v>383</v>
      </c>
      <c r="E25" s="356">
        <v>0</v>
      </c>
      <c r="F25" s="356">
        <v>0</v>
      </c>
    </row>
    <row r="26" spans="1:6" ht="12.75">
      <c r="A26" s="356"/>
      <c r="B26" s="357"/>
      <c r="C26" s="357" t="s">
        <v>384</v>
      </c>
      <c r="D26" s="358" t="s">
        <v>385</v>
      </c>
      <c r="E26" s="356">
        <v>0</v>
      </c>
      <c r="F26" s="356">
        <v>0</v>
      </c>
    </row>
    <row r="27" spans="1:6" ht="12.75">
      <c r="A27" s="356"/>
      <c r="B27" s="357"/>
      <c r="C27" s="357" t="s">
        <v>386</v>
      </c>
      <c r="D27" s="358" t="s">
        <v>387</v>
      </c>
      <c r="E27" s="356">
        <v>0</v>
      </c>
      <c r="F27" s="356">
        <v>0</v>
      </c>
    </row>
    <row r="28" spans="1:6" ht="12.75">
      <c r="A28" s="356"/>
      <c r="B28" s="357"/>
      <c r="C28" s="357" t="s">
        <v>388</v>
      </c>
      <c r="D28" s="358" t="s">
        <v>389</v>
      </c>
      <c r="E28" s="356">
        <v>0</v>
      </c>
      <c r="F28" s="356">
        <v>0</v>
      </c>
    </row>
    <row r="29" spans="1:6" ht="12.75">
      <c r="A29" s="356"/>
      <c r="B29" s="357"/>
      <c r="C29" s="357" t="s">
        <v>390</v>
      </c>
      <c r="D29" s="358" t="s">
        <v>391</v>
      </c>
      <c r="E29" s="356">
        <v>0</v>
      </c>
      <c r="F29" s="356">
        <v>0</v>
      </c>
    </row>
    <row r="30" spans="1:6" ht="12.75">
      <c r="A30" s="356"/>
      <c r="B30" s="357"/>
      <c r="C30" s="357" t="s">
        <v>392</v>
      </c>
      <c r="D30" s="358" t="s">
        <v>393</v>
      </c>
      <c r="E30" s="356">
        <v>0</v>
      </c>
      <c r="F30" s="356">
        <v>0</v>
      </c>
    </row>
    <row r="31" spans="1:6" ht="12.75">
      <c r="A31" s="356"/>
      <c r="B31" s="357"/>
      <c r="C31" s="357" t="s">
        <v>394</v>
      </c>
      <c r="D31" s="358" t="s">
        <v>395</v>
      </c>
      <c r="E31" s="356">
        <v>0</v>
      </c>
      <c r="F31" s="356">
        <v>0</v>
      </c>
    </row>
    <row r="32" spans="1:6" ht="12.75">
      <c r="A32" s="356"/>
      <c r="B32" s="357"/>
      <c r="C32" s="357"/>
      <c r="D32" s="358"/>
      <c r="E32" s="357"/>
      <c r="F32" s="357"/>
    </row>
    <row r="33" spans="1:6" ht="12.75">
      <c r="A33" s="356">
        <v>4</v>
      </c>
      <c r="B33" s="357" t="s">
        <v>396</v>
      </c>
      <c r="C33" s="357" t="s">
        <v>397</v>
      </c>
      <c r="D33" s="358" t="s">
        <v>398</v>
      </c>
      <c r="E33" s="356">
        <v>0</v>
      </c>
      <c r="F33" s="356">
        <v>0</v>
      </c>
    </row>
    <row r="34" spans="1:6" ht="12.75">
      <c r="A34" s="356"/>
      <c r="B34" s="357"/>
      <c r="C34" s="357"/>
      <c r="D34" s="358"/>
      <c r="E34" s="357"/>
      <c r="F34" s="357"/>
    </row>
    <row r="35" spans="1:6" ht="12.75">
      <c r="A35" s="356">
        <v>5</v>
      </c>
      <c r="B35" s="357" t="s">
        <v>399</v>
      </c>
      <c r="C35" s="357" t="s">
        <v>400</v>
      </c>
      <c r="D35" s="358" t="s">
        <v>401</v>
      </c>
      <c r="E35" s="356">
        <v>0</v>
      </c>
      <c r="F35" s="356">
        <v>0</v>
      </c>
    </row>
    <row r="36" spans="1:6" ht="12.75">
      <c r="A36" s="356"/>
      <c r="B36" s="357"/>
      <c r="C36" s="357" t="s">
        <v>402</v>
      </c>
      <c r="D36" s="358" t="s">
        <v>403</v>
      </c>
      <c r="E36" s="356">
        <v>0</v>
      </c>
      <c r="F36" s="356">
        <v>0</v>
      </c>
    </row>
    <row r="37" spans="1:6" ht="12.75">
      <c r="A37" s="356"/>
      <c r="B37" s="357"/>
      <c r="C37" s="357"/>
      <c r="D37" s="358"/>
      <c r="E37" s="356"/>
      <c r="F37" s="356"/>
    </row>
    <row r="38" spans="1:6" ht="12.75">
      <c r="A38" s="356">
        <v>6</v>
      </c>
      <c r="B38" s="357" t="s">
        <v>404</v>
      </c>
      <c r="C38" s="357" t="s">
        <v>405</v>
      </c>
      <c r="D38" s="358" t="s">
        <v>406</v>
      </c>
      <c r="E38" s="356">
        <v>0</v>
      </c>
      <c r="F38" s="356">
        <v>0</v>
      </c>
    </row>
    <row r="39" spans="1:6" ht="12.75">
      <c r="A39" s="356"/>
      <c r="B39" s="357"/>
      <c r="C39" s="357"/>
      <c r="D39" s="358"/>
      <c r="E39" s="356"/>
      <c r="F39" s="356"/>
    </row>
    <row r="40" spans="1:6" ht="12.75">
      <c r="A40" s="356">
        <v>7</v>
      </c>
      <c r="B40" s="357" t="s">
        <v>407</v>
      </c>
      <c r="C40" s="357" t="s">
        <v>408</v>
      </c>
      <c r="D40" s="358" t="s">
        <v>409</v>
      </c>
      <c r="E40" s="356">
        <v>0</v>
      </c>
      <c r="F40" s="356">
        <v>0</v>
      </c>
    </row>
    <row r="41" spans="1:6" ht="12.75">
      <c r="A41" s="356"/>
      <c r="B41" s="357"/>
      <c r="C41" s="357" t="s">
        <v>410</v>
      </c>
      <c r="D41" s="358" t="s">
        <v>411</v>
      </c>
      <c r="E41" s="356">
        <v>0</v>
      </c>
      <c r="F41" s="356">
        <v>0</v>
      </c>
    </row>
    <row r="42" spans="1:6" ht="12.75">
      <c r="A42" s="356"/>
      <c r="B42" s="357"/>
      <c r="C42" s="357" t="s">
        <v>412</v>
      </c>
      <c r="D42" s="358" t="s">
        <v>413</v>
      </c>
      <c r="E42" s="356">
        <v>0</v>
      </c>
      <c r="F42" s="356">
        <v>0</v>
      </c>
    </row>
    <row r="43" spans="1:6" ht="12.75">
      <c r="A43" s="356"/>
      <c r="B43" s="357"/>
      <c r="C43" s="357" t="s">
        <v>414</v>
      </c>
      <c r="D43" s="358" t="s">
        <v>415</v>
      </c>
      <c r="E43" s="356">
        <v>0</v>
      </c>
      <c r="F43" s="356">
        <v>0</v>
      </c>
    </row>
    <row r="44" spans="1:6" ht="12.75">
      <c r="A44" s="356"/>
      <c r="B44" s="357"/>
      <c r="C44" s="357"/>
      <c r="D44" s="358"/>
      <c r="E44" s="357"/>
      <c r="F44" s="357"/>
    </row>
    <row r="45" spans="1:6" ht="12.75">
      <c r="A45" s="356">
        <v>8</v>
      </c>
      <c r="B45" s="357" t="s">
        <v>416</v>
      </c>
      <c r="C45" s="357" t="s">
        <v>417</v>
      </c>
      <c r="D45" s="358" t="s">
        <v>418</v>
      </c>
      <c r="E45" s="356">
        <v>0</v>
      </c>
      <c r="F45" s="356">
        <v>0</v>
      </c>
    </row>
    <row r="46" spans="1:6" ht="12.75">
      <c r="A46" s="356"/>
      <c r="B46" s="357"/>
      <c r="C46" s="357"/>
      <c r="D46" s="358"/>
      <c r="E46" s="357"/>
      <c r="F46" s="357"/>
    </row>
    <row r="47" spans="1:6" ht="12.75">
      <c r="A47" s="356">
        <v>9</v>
      </c>
      <c r="B47" s="357" t="s">
        <v>419</v>
      </c>
      <c r="C47" s="360" t="s">
        <v>420</v>
      </c>
      <c r="D47" s="361" t="s">
        <v>421</v>
      </c>
      <c r="E47" s="356">
        <v>0</v>
      </c>
      <c r="F47" s="356">
        <v>0</v>
      </c>
    </row>
    <row r="48" spans="1:6" ht="12.75">
      <c r="A48" s="356"/>
      <c r="B48" s="357"/>
      <c r="C48" s="357" t="s">
        <v>422</v>
      </c>
      <c r="D48" s="358" t="s">
        <v>423</v>
      </c>
      <c r="E48" s="356">
        <v>0</v>
      </c>
      <c r="F48" s="356">
        <v>0</v>
      </c>
    </row>
    <row r="49" spans="1:6" ht="25.5">
      <c r="A49" s="356"/>
      <c r="B49" s="357"/>
      <c r="C49" s="357" t="s">
        <v>424</v>
      </c>
      <c r="D49" s="358" t="s">
        <v>425</v>
      </c>
      <c r="E49" s="356">
        <v>0</v>
      </c>
      <c r="F49" s="356">
        <v>0</v>
      </c>
    </row>
    <row r="50" spans="1:6" ht="12.75">
      <c r="A50" s="356"/>
      <c r="B50" s="357"/>
      <c r="C50" s="357"/>
      <c r="D50" s="358"/>
      <c r="E50" s="357"/>
      <c r="F50" s="357"/>
    </row>
    <row r="51" spans="1:6" ht="12.75">
      <c r="A51" s="356">
        <v>10</v>
      </c>
      <c r="B51" s="357" t="s">
        <v>426</v>
      </c>
      <c r="C51" s="357" t="s">
        <v>427</v>
      </c>
      <c r="D51" s="358" t="s">
        <v>428</v>
      </c>
      <c r="E51" s="356">
        <v>0</v>
      </c>
      <c r="F51" s="356">
        <v>0</v>
      </c>
    </row>
    <row r="52" spans="1:6" ht="12.75">
      <c r="A52" s="356"/>
      <c r="B52" s="357"/>
      <c r="C52" s="357" t="s">
        <v>429</v>
      </c>
      <c r="D52" s="358" t="s">
        <v>430</v>
      </c>
      <c r="E52" s="356">
        <v>0</v>
      </c>
      <c r="F52" s="356">
        <v>0</v>
      </c>
    </row>
    <row r="53" spans="1:6" ht="12.75">
      <c r="A53" s="356"/>
      <c r="B53" s="357"/>
      <c r="C53" s="357"/>
      <c r="D53" s="358"/>
      <c r="E53" s="356"/>
      <c r="F53" s="356"/>
    </row>
    <row r="54" spans="1:6" ht="12.75">
      <c r="A54" s="356">
        <v>11</v>
      </c>
      <c r="B54" s="357" t="s">
        <v>431</v>
      </c>
      <c r="C54" s="357" t="s">
        <v>432</v>
      </c>
      <c r="D54" s="358" t="s">
        <v>433</v>
      </c>
      <c r="E54" s="356">
        <v>0</v>
      </c>
      <c r="F54" s="356">
        <v>0</v>
      </c>
    </row>
    <row r="55" spans="1:6" ht="12.75">
      <c r="A55" s="356"/>
      <c r="B55" s="357"/>
      <c r="C55" s="357" t="s">
        <v>434</v>
      </c>
      <c r="D55" s="358" t="s">
        <v>435</v>
      </c>
      <c r="E55" s="356">
        <v>0</v>
      </c>
      <c r="F55" s="356">
        <v>0</v>
      </c>
    </row>
    <row r="56" spans="1:6" ht="12.75">
      <c r="A56" s="356"/>
      <c r="B56" s="357"/>
      <c r="C56" s="357" t="s">
        <v>436</v>
      </c>
      <c r="D56" s="358" t="s">
        <v>437</v>
      </c>
      <c r="E56" s="356">
        <v>0</v>
      </c>
      <c r="F56" s="356">
        <v>0</v>
      </c>
    </row>
    <row r="57" spans="1:6" ht="12.75">
      <c r="A57" s="356"/>
      <c r="B57" s="357"/>
      <c r="C57" s="357" t="s">
        <v>438</v>
      </c>
      <c r="D57" s="358" t="s">
        <v>439</v>
      </c>
      <c r="E57" s="356">
        <v>0</v>
      </c>
      <c r="F57" s="356">
        <v>0</v>
      </c>
    </row>
    <row r="58" spans="1:6" ht="12.75">
      <c r="A58" s="356"/>
      <c r="B58" s="357"/>
      <c r="C58" s="357"/>
      <c r="D58" s="358"/>
      <c r="E58" s="357"/>
      <c r="F58" s="357"/>
    </row>
    <row r="59" spans="1:6" ht="12.75">
      <c r="A59" s="356">
        <v>12</v>
      </c>
      <c r="B59" s="357" t="s">
        <v>440</v>
      </c>
      <c r="C59" s="357" t="s">
        <v>441</v>
      </c>
      <c r="D59" s="358" t="s">
        <v>442</v>
      </c>
      <c r="E59" s="356">
        <v>0</v>
      </c>
      <c r="F59" s="356">
        <v>0</v>
      </c>
    </row>
    <row r="60" spans="1:6" ht="12.75">
      <c r="A60" s="356"/>
      <c r="B60" s="357"/>
      <c r="C60" s="357" t="s">
        <v>443</v>
      </c>
      <c r="D60" s="358" t="s">
        <v>444</v>
      </c>
      <c r="E60" s="356">
        <v>0</v>
      </c>
      <c r="F60" s="356">
        <v>0</v>
      </c>
    </row>
    <row r="61" spans="1:6" ht="12.75">
      <c r="A61" s="356"/>
      <c r="B61" s="357"/>
      <c r="C61" s="357" t="s">
        <v>445</v>
      </c>
      <c r="D61" s="358" t="s">
        <v>446</v>
      </c>
      <c r="E61" s="356">
        <v>0</v>
      </c>
      <c r="F61" s="356">
        <v>0</v>
      </c>
    </row>
    <row r="62" spans="1:6" ht="12.75">
      <c r="A62" s="356"/>
      <c r="B62" s="357"/>
      <c r="C62" s="357" t="s">
        <v>447</v>
      </c>
      <c r="D62" s="358" t="s">
        <v>448</v>
      </c>
      <c r="E62" s="356">
        <v>0</v>
      </c>
      <c r="F62" s="356">
        <v>0</v>
      </c>
    </row>
    <row r="63" spans="1:6" ht="12.75">
      <c r="A63" s="356"/>
      <c r="B63" s="357"/>
      <c r="C63" s="357"/>
      <c r="D63" s="358"/>
      <c r="E63" s="356"/>
      <c r="F63" s="356"/>
    </row>
    <row r="64" spans="1:6" ht="12.75">
      <c r="A64" s="356">
        <v>13</v>
      </c>
      <c r="B64" s="357" t="s">
        <v>449</v>
      </c>
      <c r="C64" s="357" t="s">
        <v>450</v>
      </c>
      <c r="D64" s="358" t="s">
        <v>451</v>
      </c>
      <c r="E64" s="356">
        <v>0</v>
      </c>
      <c r="F64" s="356">
        <v>0</v>
      </c>
    </row>
    <row r="65" spans="1:6" ht="12.75">
      <c r="A65" s="356"/>
      <c r="B65" s="357"/>
      <c r="C65" s="357"/>
      <c r="D65" s="358"/>
      <c r="E65" s="356"/>
      <c r="F65" s="356"/>
    </row>
    <row r="66" spans="1:6" ht="12.75">
      <c r="A66" s="356">
        <v>14</v>
      </c>
      <c r="B66" s="357" t="s">
        <v>452</v>
      </c>
      <c r="C66" s="357" t="s">
        <v>453</v>
      </c>
      <c r="D66" s="358" t="s">
        <v>454</v>
      </c>
      <c r="E66" s="356">
        <v>0</v>
      </c>
      <c r="F66" s="356">
        <v>0</v>
      </c>
    </row>
    <row r="67" spans="1:6" ht="25.5">
      <c r="A67" s="356"/>
      <c r="B67" s="357"/>
      <c r="C67" s="357" t="s">
        <v>455</v>
      </c>
      <c r="D67" s="358" t="s">
        <v>456</v>
      </c>
      <c r="E67" s="356">
        <v>0</v>
      </c>
      <c r="F67" s="356">
        <v>0</v>
      </c>
    </row>
    <row r="68" spans="1:6" ht="25.5">
      <c r="A68" s="356"/>
      <c r="B68" s="357"/>
      <c r="C68" s="357" t="s">
        <v>457</v>
      </c>
      <c r="D68" s="358" t="s">
        <v>458</v>
      </c>
      <c r="E68" s="356">
        <v>0</v>
      </c>
      <c r="F68" s="356">
        <v>0</v>
      </c>
    </row>
    <row r="69" spans="1:6" ht="12.75">
      <c r="A69" s="356"/>
      <c r="B69" s="357"/>
      <c r="C69" s="357" t="s">
        <v>459</v>
      </c>
      <c r="D69" s="358" t="s">
        <v>460</v>
      </c>
      <c r="E69" s="356">
        <v>0</v>
      </c>
      <c r="F69" s="356">
        <v>0</v>
      </c>
    </row>
    <row r="70" spans="1:6" ht="25.5">
      <c r="A70" s="356"/>
      <c r="B70" s="357"/>
      <c r="C70" s="357" t="s">
        <v>461</v>
      </c>
      <c r="D70" s="358" t="s">
        <v>462</v>
      </c>
      <c r="E70" s="356">
        <v>0</v>
      </c>
      <c r="F70" s="356">
        <v>0</v>
      </c>
    </row>
    <row r="71" spans="1:6" ht="12.75">
      <c r="A71" s="356"/>
      <c r="B71" s="357"/>
      <c r="C71" s="357" t="s">
        <v>463</v>
      </c>
      <c r="D71" s="358" t="s">
        <v>464</v>
      </c>
      <c r="E71" s="356">
        <v>0</v>
      </c>
      <c r="F71" s="356">
        <v>0</v>
      </c>
    </row>
    <row r="72" spans="1:6" ht="12.75">
      <c r="A72" s="356"/>
      <c r="B72" s="362" t="s">
        <v>0</v>
      </c>
      <c r="C72" s="362"/>
      <c r="D72" s="362">
        <v>47</v>
      </c>
      <c r="E72" s="362">
        <f>SUM(E2:E70)</f>
        <v>0</v>
      </c>
      <c r="F72" s="362">
        <f>SUM(F2:F71)</f>
        <v>0</v>
      </c>
    </row>
    <row r="74" ht="12.75">
      <c r="A74" s="346" t="s">
        <v>465</v>
      </c>
    </row>
    <row r="75" ht="12.75">
      <c r="A75" s="346" t="s">
        <v>466</v>
      </c>
    </row>
  </sheetData>
  <sheetProtection/>
  <mergeCells count="10">
    <mergeCell ref="A1:F1"/>
    <mergeCell ref="A3:F3"/>
    <mergeCell ref="E4:F4"/>
    <mergeCell ref="A9:A11"/>
    <mergeCell ref="B9:B11"/>
    <mergeCell ref="C9:C11"/>
    <mergeCell ref="D9:D11"/>
    <mergeCell ref="E9:F9"/>
    <mergeCell ref="E10:E11"/>
    <mergeCell ref="F10:F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X70"/>
  <sheetViews>
    <sheetView view="pageBreakPreview" zoomScale="60" zoomScalePageLayoutView="0" workbookViewId="0" topLeftCell="A1">
      <pane xSplit="2" ySplit="5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6" sqref="H46"/>
    </sheetView>
  </sheetViews>
  <sheetFormatPr defaultColWidth="9.140625" defaultRowHeight="12.75"/>
  <cols>
    <col min="1" max="1" width="4.8515625" style="69" customWidth="1"/>
    <col min="2" max="2" width="26.7109375" style="67" customWidth="1"/>
    <col min="3" max="3" width="12.57421875" style="70" customWidth="1"/>
    <col min="4" max="4" width="13.140625" style="70" customWidth="1"/>
    <col min="5" max="5" width="12.8515625" style="72" customWidth="1"/>
    <col min="6" max="6" width="12.28125" style="67" customWidth="1"/>
    <col min="7" max="7" width="12.7109375" style="67" customWidth="1"/>
    <col min="8" max="8" width="11.8515625" style="67" customWidth="1"/>
    <col min="9" max="10" width="10.140625" style="67" hidden="1" customWidth="1"/>
    <col min="11" max="11" width="10.57421875" style="173" hidden="1" customWidth="1"/>
    <col min="12" max="12" width="9.8515625" style="67" hidden="1" customWidth="1"/>
    <col min="13" max="16" width="0" style="67" hidden="1" customWidth="1"/>
    <col min="17" max="17" width="9.8515625" style="67" hidden="1" customWidth="1"/>
    <col min="18" max="18" width="9.28125" style="67" hidden="1" customWidth="1"/>
    <col min="19" max="19" width="0" style="67" hidden="1" customWidth="1"/>
    <col min="20" max="20" width="9.140625" style="67" hidden="1" customWidth="1"/>
    <col min="21" max="21" width="10.140625" style="67" hidden="1" customWidth="1"/>
    <col min="22" max="22" width="0" style="67" hidden="1" customWidth="1"/>
    <col min="23" max="23" width="10.28125" style="67" hidden="1" customWidth="1"/>
    <col min="24" max="24" width="11.57421875" style="67" hidden="1" customWidth="1"/>
    <col min="25" max="27" width="0" style="67" hidden="1" customWidth="1"/>
    <col min="28" max="16384" width="9.140625" style="67" customWidth="1"/>
  </cols>
  <sheetData>
    <row r="1" spans="1:8" ht="12.75" customHeight="1">
      <c r="A1" s="558" t="s">
        <v>123</v>
      </c>
      <c r="B1" s="558"/>
      <c r="C1" s="558"/>
      <c r="D1" s="558"/>
      <c r="E1" s="558"/>
      <c r="F1" s="558"/>
      <c r="G1" s="558"/>
      <c r="H1" s="558"/>
    </row>
    <row r="2" spans="1:8" ht="18.75">
      <c r="A2" s="560" t="s">
        <v>287</v>
      </c>
      <c r="B2" s="560"/>
      <c r="C2" s="560"/>
      <c r="D2" s="560"/>
      <c r="E2" s="560"/>
      <c r="F2" s="560"/>
      <c r="G2" s="560"/>
      <c r="H2" s="560"/>
    </row>
    <row r="3" spans="1:8" ht="14.25" customHeight="1">
      <c r="A3" s="49"/>
      <c r="B3" s="114" t="s">
        <v>12</v>
      </c>
      <c r="C3" s="68"/>
      <c r="E3" s="71"/>
      <c r="G3" s="559" t="s">
        <v>243</v>
      </c>
      <c r="H3" s="559"/>
    </row>
    <row r="4" spans="1:8" ht="18.75">
      <c r="A4" s="556" t="s">
        <v>272</v>
      </c>
      <c r="B4" s="556" t="s">
        <v>3</v>
      </c>
      <c r="C4" s="557" t="s">
        <v>14</v>
      </c>
      <c r="D4" s="557"/>
      <c r="E4" s="557" t="s">
        <v>9</v>
      </c>
      <c r="F4" s="557"/>
      <c r="G4" s="556" t="s">
        <v>10</v>
      </c>
      <c r="H4" s="556"/>
    </row>
    <row r="5" spans="1:18" ht="39.75" customHeight="1">
      <c r="A5" s="556"/>
      <c r="B5" s="556"/>
      <c r="C5" s="86" t="s">
        <v>278</v>
      </c>
      <c r="D5" s="86" t="s">
        <v>279</v>
      </c>
      <c r="E5" s="86" t="s">
        <v>278</v>
      </c>
      <c r="F5" s="86" t="s">
        <v>279</v>
      </c>
      <c r="G5" s="161" t="s">
        <v>278</v>
      </c>
      <c r="H5" s="86" t="s">
        <v>279</v>
      </c>
      <c r="I5" s="67" t="s">
        <v>327</v>
      </c>
      <c r="J5" s="67" t="s">
        <v>328</v>
      </c>
      <c r="K5" s="173" t="s">
        <v>329</v>
      </c>
      <c r="L5" s="67" t="s">
        <v>330</v>
      </c>
      <c r="Q5" s="175" t="s">
        <v>332</v>
      </c>
      <c r="R5" s="175" t="s">
        <v>331</v>
      </c>
    </row>
    <row r="6" spans="1:22" ht="15" customHeight="1">
      <c r="A6" s="87">
        <v>1</v>
      </c>
      <c r="B6" s="88" t="s">
        <v>57</v>
      </c>
      <c r="C6" s="89">
        <v>897512</v>
      </c>
      <c r="D6" s="90">
        <v>977335</v>
      </c>
      <c r="E6" s="89">
        <v>640009</v>
      </c>
      <c r="F6" s="90">
        <v>639622</v>
      </c>
      <c r="G6" s="91">
        <f aca="true" t="shared" si="0" ref="G6:H35">E6*100/C6</f>
        <v>71.30924154774532</v>
      </c>
      <c r="H6" s="91">
        <f t="shared" si="0"/>
        <v>65.44552277366512</v>
      </c>
      <c r="I6" s="172">
        <f>'CD Ratio_2'!C6+'CD Ratio_2'!D6+'CD Ratio_2'!E6</f>
        <v>977335</v>
      </c>
      <c r="J6" s="172">
        <f>'CD Ratio_2'!F6+'CD Ratio_2'!G6+'CD Ratio_2'!H6</f>
        <v>639621.52</v>
      </c>
      <c r="K6" s="171">
        <f>I6-D6</f>
        <v>0</v>
      </c>
      <c r="L6" s="171">
        <f>J6-F6</f>
        <v>-0.47999999998137355</v>
      </c>
      <c r="Q6" s="172">
        <f>D6-C6</f>
        <v>79823</v>
      </c>
      <c r="R6" s="172">
        <f>F6-E6</f>
        <v>-387</v>
      </c>
      <c r="U6" s="172">
        <f>F6-E6</f>
        <v>-387</v>
      </c>
      <c r="V6" s="343">
        <f>U6/100</f>
        <v>-3.87</v>
      </c>
    </row>
    <row r="7" spans="1:22" ht="15" customHeight="1">
      <c r="A7" s="87">
        <v>2</v>
      </c>
      <c r="B7" s="88" t="s">
        <v>58</v>
      </c>
      <c r="C7" s="92">
        <v>140758.96</v>
      </c>
      <c r="D7" s="90">
        <v>144927</v>
      </c>
      <c r="E7" s="92">
        <v>47483.4599</v>
      </c>
      <c r="F7" s="89">
        <v>47367</v>
      </c>
      <c r="G7" s="91">
        <f t="shared" si="0"/>
        <v>33.733880884030405</v>
      </c>
      <c r="H7" s="91">
        <f t="shared" si="0"/>
        <v>32.68335092839843</v>
      </c>
      <c r="I7" s="172">
        <f>'CD Ratio_2'!C7+'CD Ratio_2'!D7+'CD Ratio_2'!E7</f>
        <v>144926.62</v>
      </c>
      <c r="J7" s="172">
        <f>'CD Ratio_2'!F7+'CD Ratio_2'!G7+'CD Ratio_2'!H7</f>
        <v>47367.259999999995</v>
      </c>
      <c r="K7" s="171">
        <f aca="true" t="shared" si="1" ref="K7:K64">I7-D7</f>
        <v>-0.3800000000046566</v>
      </c>
      <c r="L7" s="171">
        <f aca="true" t="shared" si="2" ref="L7:L64">J7-F7</f>
        <v>0.2599999999947613</v>
      </c>
      <c r="Q7" s="172">
        <f aca="true" t="shared" si="3" ref="Q7:Q64">D7-C7</f>
        <v>4168.040000000008</v>
      </c>
      <c r="R7" s="172">
        <f aca="true" t="shared" si="4" ref="R7:R64">F7-E7</f>
        <v>-116.45990000000165</v>
      </c>
      <c r="U7" s="172">
        <f aca="true" t="shared" si="5" ref="U7:U64">F7-E7</f>
        <v>-116.45990000000165</v>
      </c>
      <c r="V7" s="343">
        <f aca="true" t="shared" si="6" ref="V7:V64">U7/100</f>
        <v>-1.1645990000000166</v>
      </c>
    </row>
    <row r="8" spans="1:22" ht="15" customHeight="1">
      <c r="A8" s="87">
        <v>3</v>
      </c>
      <c r="B8" s="88" t="s">
        <v>59</v>
      </c>
      <c r="C8" s="93">
        <v>814601</v>
      </c>
      <c r="D8" s="94">
        <v>812900</v>
      </c>
      <c r="E8" s="93">
        <v>914330</v>
      </c>
      <c r="F8" s="94">
        <v>892300</v>
      </c>
      <c r="G8" s="91">
        <f t="shared" si="0"/>
        <v>112.24268077255</v>
      </c>
      <c r="H8" s="91">
        <f t="shared" si="0"/>
        <v>109.7674990773773</v>
      </c>
      <c r="I8" s="172">
        <f>'CD Ratio_2'!C8+'CD Ratio_2'!D8+'CD Ratio_2'!E8</f>
        <v>812900</v>
      </c>
      <c r="J8" s="172">
        <f>'CD Ratio_2'!F8+'CD Ratio_2'!G8+'CD Ratio_2'!H8</f>
        <v>892300</v>
      </c>
      <c r="K8" s="171">
        <f t="shared" si="1"/>
        <v>0</v>
      </c>
      <c r="L8" s="171">
        <f t="shared" si="2"/>
        <v>0</v>
      </c>
      <c r="Q8" s="172">
        <f t="shared" si="3"/>
        <v>-1701</v>
      </c>
      <c r="R8" s="172">
        <f t="shared" si="4"/>
        <v>-22030</v>
      </c>
      <c r="U8" s="172">
        <f t="shared" si="5"/>
        <v>-22030</v>
      </c>
      <c r="V8" s="343">
        <f t="shared" si="6"/>
        <v>-220.3</v>
      </c>
    </row>
    <row r="9" spans="1:22" ht="15" customHeight="1">
      <c r="A9" s="87">
        <v>4</v>
      </c>
      <c r="B9" s="88" t="s">
        <v>60</v>
      </c>
      <c r="C9" s="92">
        <v>1888528</v>
      </c>
      <c r="D9" s="89">
        <v>1958252</v>
      </c>
      <c r="E9" s="92">
        <v>1546015</v>
      </c>
      <c r="F9" s="89">
        <v>1640857</v>
      </c>
      <c r="G9" s="91">
        <f t="shared" si="0"/>
        <v>81.86349368396974</v>
      </c>
      <c r="H9" s="91">
        <f t="shared" si="0"/>
        <v>83.79192259218937</v>
      </c>
      <c r="I9" s="172">
        <f>'CD Ratio_2'!C9+'CD Ratio_2'!D9+'CD Ratio_2'!E9</f>
        <v>1958252</v>
      </c>
      <c r="J9" s="172">
        <f>'CD Ratio_2'!F9+'CD Ratio_2'!G9+'CD Ratio_2'!H9</f>
        <v>1640857</v>
      </c>
      <c r="K9" s="171">
        <f t="shared" si="1"/>
        <v>0</v>
      </c>
      <c r="L9" s="171">
        <f t="shared" si="2"/>
        <v>0</v>
      </c>
      <c r="Q9" s="172">
        <f t="shared" si="3"/>
        <v>69724</v>
      </c>
      <c r="R9" s="176">
        <f t="shared" si="4"/>
        <v>94842</v>
      </c>
      <c r="U9" s="172">
        <f t="shared" si="5"/>
        <v>94842</v>
      </c>
      <c r="V9" s="343">
        <f t="shared" si="6"/>
        <v>948.42</v>
      </c>
    </row>
    <row r="10" spans="1:22" ht="15" customHeight="1">
      <c r="A10" s="87">
        <v>5</v>
      </c>
      <c r="B10" s="88" t="s">
        <v>61</v>
      </c>
      <c r="C10" s="92">
        <v>514356</v>
      </c>
      <c r="D10" s="89">
        <v>516109</v>
      </c>
      <c r="E10" s="92">
        <v>390599</v>
      </c>
      <c r="F10" s="89">
        <v>367596</v>
      </c>
      <c r="G10" s="91">
        <f t="shared" si="0"/>
        <v>75.93942716717604</v>
      </c>
      <c r="H10" s="91">
        <f t="shared" si="0"/>
        <v>71.22448940049486</v>
      </c>
      <c r="I10" s="172">
        <f>'CD Ratio_2'!C10+'CD Ratio_2'!D10+'CD Ratio_2'!E10</f>
        <v>516109</v>
      </c>
      <c r="J10" s="172">
        <f>'CD Ratio_2'!F10+'CD Ratio_2'!G10+'CD Ratio_2'!H10</f>
        <v>367596</v>
      </c>
      <c r="K10" s="171">
        <f t="shared" si="1"/>
        <v>0</v>
      </c>
      <c r="L10" s="171">
        <f t="shared" si="2"/>
        <v>0</v>
      </c>
      <c r="Q10" s="172">
        <f t="shared" si="3"/>
        <v>1753</v>
      </c>
      <c r="R10" s="172">
        <f t="shared" si="4"/>
        <v>-23003</v>
      </c>
      <c r="U10" s="172">
        <f t="shared" si="5"/>
        <v>-23003</v>
      </c>
      <c r="V10" s="343">
        <f t="shared" si="6"/>
        <v>-230.03</v>
      </c>
    </row>
    <row r="11" spans="1:22" ht="15" customHeight="1">
      <c r="A11" s="87">
        <v>6</v>
      </c>
      <c r="B11" s="88" t="s">
        <v>70</v>
      </c>
      <c r="C11" s="95">
        <v>3815</v>
      </c>
      <c r="D11" s="96">
        <v>4018</v>
      </c>
      <c r="E11" s="95">
        <v>697</v>
      </c>
      <c r="F11" s="96">
        <v>763</v>
      </c>
      <c r="G11" s="91">
        <f t="shared" si="0"/>
        <v>18.269986893840105</v>
      </c>
      <c r="H11" s="91">
        <f t="shared" si="0"/>
        <v>18.989547038327526</v>
      </c>
      <c r="I11" s="172">
        <f>'CD Ratio_2'!C11+'CD Ratio_2'!D11+'CD Ratio_2'!E11</f>
        <v>4018</v>
      </c>
      <c r="J11" s="172">
        <f>'CD Ratio_2'!F11+'CD Ratio_2'!G11+'CD Ratio_2'!H11</f>
        <v>763</v>
      </c>
      <c r="K11" s="171">
        <f t="shared" si="1"/>
        <v>0</v>
      </c>
      <c r="L11" s="171">
        <f t="shared" si="2"/>
        <v>0</v>
      </c>
      <c r="Q11" s="172">
        <f t="shared" si="3"/>
        <v>203</v>
      </c>
      <c r="R11" s="172">
        <f t="shared" si="4"/>
        <v>66</v>
      </c>
      <c r="U11" s="172">
        <f t="shared" si="5"/>
        <v>66</v>
      </c>
      <c r="V11" s="343">
        <f t="shared" si="6"/>
        <v>0.66</v>
      </c>
    </row>
    <row r="12" spans="1:22" ht="15" customHeight="1">
      <c r="A12" s="87">
        <v>7</v>
      </c>
      <c r="B12" s="88" t="s">
        <v>62</v>
      </c>
      <c r="C12" s="95">
        <v>627667</v>
      </c>
      <c r="D12" s="95">
        <v>639410</v>
      </c>
      <c r="E12" s="95">
        <v>398149</v>
      </c>
      <c r="F12" s="95">
        <v>408664</v>
      </c>
      <c r="G12" s="91">
        <f aca="true" t="shared" si="7" ref="G12:G21">E12*100/C12</f>
        <v>63.43315802806265</v>
      </c>
      <c r="H12" s="91">
        <f t="shared" si="0"/>
        <v>63.91266949218811</v>
      </c>
      <c r="I12" s="172">
        <f>'CD Ratio_2'!C12+'CD Ratio_2'!D12+'CD Ratio_2'!E12</f>
        <v>639410</v>
      </c>
      <c r="J12" s="172">
        <f>'CD Ratio_2'!F12+'CD Ratio_2'!G12+'CD Ratio_2'!H12</f>
        <v>408664</v>
      </c>
      <c r="K12" s="171">
        <f t="shared" si="1"/>
        <v>0</v>
      </c>
      <c r="L12" s="171">
        <f t="shared" si="2"/>
        <v>0</v>
      </c>
      <c r="Q12" s="172">
        <f aca="true" t="shared" si="8" ref="Q12:Q21">D12-C12</f>
        <v>11743</v>
      </c>
      <c r="R12" s="172">
        <f t="shared" si="4"/>
        <v>10515</v>
      </c>
      <c r="U12" s="172">
        <f t="shared" si="5"/>
        <v>10515</v>
      </c>
      <c r="V12" s="343">
        <f t="shared" si="6"/>
        <v>105.15</v>
      </c>
    </row>
    <row r="13" spans="1:22" ht="15" customHeight="1">
      <c r="A13" s="87">
        <v>8</v>
      </c>
      <c r="B13" s="88" t="s">
        <v>63</v>
      </c>
      <c r="C13" s="95">
        <v>2051082</v>
      </c>
      <c r="D13" s="97">
        <v>2123312</v>
      </c>
      <c r="E13" s="95">
        <v>1186617</v>
      </c>
      <c r="F13" s="97">
        <v>1204520</v>
      </c>
      <c r="G13" s="91">
        <f t="shared" si="7"/>
        <v>57.853220885366845</v>
      </c>
      <c r="H13" s="91">
        <f t="shared" si="0"/>
        <v>56.72835645444476</v>
      </c>
      <c r="I13" s="172">
        <f>'CD Ratio_2'!C13+'CD Ratio_2'!D13+'CD Ratio_2'!E13</f>
        <v>2123312</v>
      </c>
      <c r="J13" s="172">
        <f>'CD Ratio_2'!F13+'CD Ratio_2'!G13+'CD Ratio_2'!H13</f>
        <v>1204520</v>
      </c>
      <c r="K13" s="171">
        <f t="shared" si="1"/>
        <v>0</v>
      </c>
      <c r="L13" s="171">
        <f t="shared" si="2"/>
        <v>0</v>
      </c>
      <c r="Q13" s="172">
        <f t="shared" si="8"/>
        <v>72230</v>
      </c>
      <c r="R13" s="172">
        <f t="shared" si="4"/>
        <v>17903</v>
      </c>
      <c r="U13" s="172">
        <f t="shared" si="5"/>
        <v>17903</v>
      </c>
      <c r="V13" s="343">
        <f t="shared" si="6"/>
        <v>179.03</v>
      </c>
    </row>
    <row r="14" spans="1:22" ht="15" customHeight="1">
      <c r="A14" s="87">
        <v>9</v>
      </c>
      <c r="B14" s="88" t="s">
        <v>50</v>
      </c>
      <c r="C14" s="89">
        <v>166125.46000000002</v>
      </c>
      <c r="D14" s="89">
        <v>156994</v>
      </c>
      <c r="E14" s="89">
        <v>117900</v>
      </c>
      <c r="F14" s="89">
        <v>278661</v>
      </c>
      <c r="G14" s="91">
        <f t="shared" si="7"/>
        <v>70.97045811039439</v>
      </c>
      <c r="H14" s="91">
        <f t="shared" si="0"/>
        <v>177.49786616049022</v>
      </c>
      <c r="I14" s="172">
        <f>'CD Ratio_2'!C14+'CD Ratio_2'!D14+'CD Ratio_2'!E14</f>
        <v>156994.43</v>
      </c>
      <c r="J14" s="172">
        <f>'CD Ratio_2'!F14+'CD Ratio_2'!G14+'CD Ratio_2'!H14</f>
        <v>278661.06</v>
      </c>
      <c r="K14" s="171">
        <f t="shared" si="1"/>
        <v>0.4299999999930151</v>
      </c>
      <c r="L14" s="171">
        <f t="shared" si="2"/>
        <v>0.059999999997671694</v>
      </c>
      <c r="Q14" s="172">
        <f t="shared" si="8"/>
        <v>-9131.460000000021</v>
      </c>
      <c r="R14" s="176">
        <f t="shared" si="4"/>
        <v>160761</v>
      </c>
      <c r="U14" s="172">
        <f t="shared" si="5"/>
        <v>160761</v>
      </c>
      <c r="V14" s="343">
        <f t="shared" si="6"/>
        <v>1607.61</v>
      </c>
    </row>
    <row r="15" spans="1:22" ht="15" customHeight="1">
      <c r="A15" s="87">
        <v>10</v>
      </c>
      <c r="B15" s="88" t="s">
        <v>51</v>
      </c>
      <c r="C15" s="89">
        <v>255984</v>
      </c>
      <c r="D15" s="89">
        <v>267716</v>
      </c>
      <c r="E15" s="89">
        <v>131748</v>
      </c>
      <c r="F15" s="89">
        <v>179901</v>
      </c>
      <c r="G15" s="91">
        <f t="shared" si="7"/>
        <v>51.46727920495031</v>
      </c>
      <c r="H15" s="91">
        <f t="shared" si="0"/>
        <v>67.19844910278056</v>
      </c>
      <c r="I15" s="172">
        <f>'CD Ratio_2'!C15+'CD Ratio_2'!D15+'CD Ratio_2'!E15</f>
        <v>267716</v>
      </c>
      <c r="J15" s="172">
        <f>'CD Ratio_2'!F15+'CD Ratio_2'!G15+'CD Ratio_2'!H15</f>
        <v>179901</v>
      </c>
      <c r="K15" s="171">
        <f t="shared" si="1"/>
        <v>0</v>
      </c>
      <c r="L15" s="171">
        <f t="shared" si="2"/>
        <v>0</v>
      </c>
      <c r="Q15" s="172">
        <f t="shared" si="8"/>
        <v>11732</v>
      </c>
      <c r="R15" s="172">
        <f t="shared" si="4"/>
        <v>48153</v>
      </c>
      <c r="U15" s="172">
        <f t="shared" si="5"/>
        <v>48153</v>
      </c>
      <c r="V15" s="343">
        <f t="shared" si="6"/>
        <v>481.53</v>
      </c>
    </row>
    <row r="16" spans="1:22" ht="15" customHeight="1">
      <c r="A16" s="87">
        <v>11</v>
      </c>
      <c r="B16" s="88" t="s">
        <v>83</v>
      </c>
      <c r="C16" s="89">
        <v>582566.25</v>
      </c>
      <c r="D16" s="89">
        <v>573145</v>
      </c>
      <c r="E16" s="98">
        <v>381042</v>
      </c>
      <c r="F16" s="89">
        <v>400527</v>
      </c>
      <c r="G16" s="91">
        <f t="shared" si="7"/>
        <v>65.40749657227826</v>
      </c>
      <c r="H16" s="91">
        <f t="shared" si="0"/>
        <v>69.88231599333503</v>
      </c>
      <c r="I16" s="172">
        <f>'CD Ratio_2'!C16+'CD Ratio_2'!D16+'CD Ratio_2'!E16</f>
        <v>573145</v>
      </c>
      <c r="J16" s="172">
        <f>'CD Ratio_2'!F16+'CD Ratio_2'!G16+'CD Ratio_2'!H16</f>
        <v>400527</v>
      </c>
      <c r="K16" s="171">
        <f t="shared" si="1"/>
        <v>0</v>
      </c>
      <c r="L16" s="171">
        <f t="shared" si="2"/>
        <v>0</v>
      </c>
      <c r="Q16" s="172">
        <f t="shared" si="8"/>
        <v>-9421.25</v>
      </c>
      <c r="R16" s="172">
        <f t="shared" si="4"/>
        <v>19485</v>
      </c>
      <c r="U16" s="172">
        <f t="shared" si="5"/>
        <v>19485</v>
      </c>
      <c r="V16" s="343">
        <f t="shared" si="6"/>
        <v>194.85</v>
      </c>
    </row>
    <row r="17" spans="1:22" ht="15" customHeight="1">
      <c r="A17" s="87">
        <v>12</v>
      </c>
      <c r="B17" s="88" t="s">
        <v>64</v>
      </c>
      <c r="C17" s="99">
        <v>78749</v>
      </c>
      <c r="D17" s="100">
        <v>78710.85</v>
      </c>
      <c r="E17" s="99">
        <v>77479</v>
      </c>
      <c r="F17" s="100">
        <v>69684.91</v>
      </c>
      <c r="G17" s="91">
        <f t="shared" si="7"/>
        <v>98.38728110833154</v>
      </c>
      <c r="H17" s="91">
        <f t="shared" si="0"/>
        <v>88.53278804637479</v>
      </c>
      <c r="I17" s="172">
        <f>'CD Ratio_2'!C17+'CD Ratio_2'!D17+'CD Ratio_2'!E17</f>
        <v>78710.84999999999</v>
      </c>
      <c r="J17" s="172">
        <f>'CD Ratio_2'!F17+'CD Ratio_2'!G17+'CD Ratio_2'!H17</f>
        <v>69684.90999999999</v>
      </c>
      <c r="K17" s="171">
        <f t="shared" si="1"/>
        <v>0</v>
      </c>
      <c r="L17" s="171">
        <f t="shared" si="2"/>
        <v>0</v>
      </c>
      <c r="Q17" s="172">
        <f t="shared" si="8"/>
        <v>-38.14999999999418</v>
      </c>
      <c r="R17" s="172">
        <f t="shared" si="4"/>
        <v>-7794.0899999999965</v>
      </c>
      <c r="U17" s="172">
        <f t="shared" si="5"/>
        <v>-7794.0899999999965</v>
      </c>
      <c r="V17" s="343">
        <f t="shared" si="6"/>
        <v>-77.94089999999997</v>
      </c>
    </row>
    <row r="18" spans="1:22" ht="15" customHeight="1">
      <c r="A18" s="87">
        <v>13</v>
      </c>
      <c r="B18" s="88" t="s">
        <v>65</v>
      </c>
      <c r="C18" s="92">
        <v>170784</v>
      </c>
      <c r="D18" s="100">
        <v>174667</v>
      </c>
      <c r="E18" s="92">
        <v>94951</v>
      </c>
      <c r="F18" s="100">
        <v>94974</v>
      </c>
      <c r="G18" s="91">
        <f t="shared" si="7"/>
        <v>55.59712853663107</v>
      </c>
      <c r="H18" s="91">
        <f t="shared" si="0"/>
        <v>54.374323713122685</v>
      </c>
      <c r="I18" s="172">
        <f>'CD Ratio_2'!C18+'CD Ratio_2'!D18+'CD Ratio_2'!E18</f>
        <v>174667</v>
      </c>
      <c r="J18" s="172">
        <f>'CD Ratio_2'!F18+'CD Ratio_2'!G18+'CD Ratio_2'!H18</f>
        <v>94974</v>
      </c>
      <c r="K18" s="171">
        <f t="shared" si="1"/>
        <v>0</v>
      </c>
      <c r="L18" s="171">
        <f t="shared" si="2"/>
        <v>0</v>
      </c>
      <c r="Q18" s="172">
        <f t="shared" si="8"/>
        <v>3883</v>
      </c>
      <c r="R18" s="172">
        <f t="shared" si="4"/>
        <v>23</v>
      </c>
      <c r="U18" s="172">
        <f t="shared" si="5"/>
        <v>23</v>
      </c>
      <c r="V18" s="343">
        <f t="shared" si="6"/>
        <v>0.23</v>
      </c>
    </row>
    <row r="19" spans="1:22" ht="15" customHeight="1">
      <c r="A19" s="87">
        <v>14</v>
      </c>
      <c r="B19" s="88" t="s">
        <v>286</v>
      </c>
      <c r="C19" s="92">
        <v>448920</v>
      </c>
      <c r="D19" s="100">
        <v>444719</v>
      </c>
      <c r="E19" s="92">
        <v>208794</v>
      </c>
      <c r="F19" s="100">
        <v>212999</v>
      </c>
      <c r="G19" s="91">
        <f t="shared" si="7"/>
        <v>46.51029136594494</v>
      </c>
      <c r="H19" s="91">
        <f t="shared" si="0"/>
        <v>47.895187747768816</v>
      </c>
      <c r="I19" s="172">
        <f>'CD Ratio_2'!C19+'CD Ratio_2'!D19+'CD Ratio_2'!E19</f>
        <v>444719</v>
      </c>
      <c r="J19" s="172">
        <f>'CD Ratio_2'!F19+'CD Ratio_2'!G19+'CD Ratio_2'!H19</f>
        <v>212999</v>
      </c>
      <c r="K19" s="171">
        <f t="shared" si="1"/>
        <v>0</v>
      </c>
      <c r="L19" s="171">
        <f t="shared" si="2"/>
        <v>0</v>
      </c>
      <c r="Q19" s="172">
        <f t="shared" si="8"/>
        <v>-4201</v>
      </c>
      <c r="R19" s="172">
        <f t="shared" si="4"/>
        <v>4205</v>
      </c>
      <c r="U19" s="172">
        <f t="shared" si="5"/>
        <v>4205</v>
      </c>
      <c r="V19" s="343">
        <f t="shared" si="6"/>
        <v>42.05</v>
      </c>
    </row>
    <row r="20" spans="1:22" ht="15" customHeight="1">
      <c r="A20" s="87">
        <v>15</v>
      </c>
      <c r="B20" s="88" t="s">
        <v>85</v>
      </c>
      <c r="C20" s="89">
        <v>140731</v>
      </c>
      <c r="D20" s="100">
        <v>136362</v>
      </c>
      <c r="E20" s="89">
        <v>61795</v>
      </c>
      <c r="F20" s="100">
        <v>63567</v>
      </c>
      <c r="G20" s="91">
        <f t="shared" si="7"/>
        <v>43.91001271930136</v>
      </c>
      <c r="H20" s="91">
        <f t="shared" si="0"/>
        <v>46.61635939631275</v>
      </c>
      <c r="I20" s="172">
        <f>'CD Ratio_2'!C20+'CD Ratio_2'!D20+'CD Ratio_2'!E20</f>
        <v>136362</v>
      </c>
      <c r="J20" s="172">
        <f>'CD Ratio_2'!F20+'CD Ratio_2'!G20+'CD Ratio_2'!H20</f>
        <v>63567</v>
      </c>
      <c r="K20" s="171">
        <f t="shared" si="1"/>
        <v>0</v>
      </c>
      <c r="L20" s="171">
        <f t="shared" si="2"/>
        <v>0</v>
      </c>
      <c r="Q20" s="172">
        <f t="shared" si="8"/>
        <v>-4369</v>
      </c>
      <c r="R20" s="172">
        <f t="shared" si="4"/>
        <v>1772</v>
      </c>
      <c r="U20" s="172">
        <f t="shared" si="5"/>
        <v>1772</v>
      </c>
      <c r="V20" s="343">
        <f t="shared" si="6"/>
        <v>17.72</v>
      </c>
    </row>
    <row r="21" spans="1:22" ht="15" customHeight="1">
      <c r="A21" s="87">
        <v>16</v>
      </c>
      <c r="B21" s="88" t="s">
        <v>66</v>
      </c>
      <c r="C21" s="89">
        <v>1740192</v>
      </c>
      <c r="D21" s="100">
        <v>1778921</v>
      </c>
      <c r="E21" s="89">
        <v>1288608</v>
      </c>
      <c r="F21" s="100">
        <v>1299950</v>
      </c>
      <c r="G21" s="91">
        <f t="shared" si="7"/>
        <v>74.04976002647983</v>
      </c>
      <c r="H21" s="91">
        <f t="shared" si="0"/>
        <v>73.07519558204102</v>
      </c>
      <c r="I21" s="172">
        <f>'CD Ratio_2'!C21+'CD Ratio_2'!D21+'CD Ratio_2'!E21</f>
        <v>1778921</v>
      </c>
      <c r="J21" s="172">
        <f>'CD Ratio_2'!F21+'CD Ratio_2'!G21+'CD Ratio_2'!H21</f>
        <v>1299950</v>
      </c>
      <c r="K21" s="171">
        <f t="shared" si="1"/>
        <v>0</v>
      </c>
      <c r="L21" s="171">
        <f t="shared" si="2"/>
        <v>0</v>
      </c>
      <c r="Q21" s="172">
        <f t="shared" si="8"/>
        <v>38729</v>
      </c>
      <c r="R21" s="172">
        <f t="shared" si="4"/>
        <v>11342</v>
      </c>
      <c r="U21" s="172">
        <f t="shared" si="5"/>
        <v>11342</v>
      </c>
      <c r="V21" s="343">
        <f t="shared" si="6"/>
        <v>113.42</v>
      </c>
    </row>
    <row r="22" spans="1:22" ht="15" customHeight="1">
      <c r="A22" s="87">
        <v>17</v>
      </c>
      <c r="B22" s="88" t="s">
        <v>89</v>
      </c>
      <c r="C22" s="95">
        <v>55577</v>
      </c>
      <c r="D22" s="97">
        <v>58579</v>
      </c>
      <c r="E22" s="95">
        <v>69770</v>
      </c>
      <c r="F22" s="97">
        <v>81765</v>
      </c>
      <c r="G22" s="91">
        <f t="shared" si="0"/>
        <v>125.53754250859168</v>
      </c>
      <c r="H22" s="91">
        <f t="shared" si="0"/>
        <v>139.5807371242254</v>
      </c>
      <c r="I22" s="172">
        <f>'CD Ratio_2'!C22+'CD Ratio_2'!D22+'CD Ratio_2'!E22</f>
        <v>58579</v>
      </c>
      <c r="J22" s="172">
        <f>'CD Ratio_2'!F22+'CD Ratio_2'!G22+'CD Ratio_2'!H22</f>
        <v>81765</v>
      </c>
      <c r="K22" s="171">
        <f t="shared" si="1"/>
        <v>0</v>
      </c>
      <c r="L22" s="171">
        <f t="shared" si="2"/>
        <v>0</v>
      </c>
      <c r="Q22" s="172">
        <f t="shared" si="3"/>
        <v>3002</v>
      </c>
      <c r="R22" s="172">
        <f t="shared" si="4"/>
        <v>11995</v>
      </c>
      <c r="U22" s="172">
        <f t="shared" si="5"/>
        <v>11995</v>
      </c>
      <c r="V22" s="343">
        <f t="shared" si="6"/>
        <v>119.95</v>
      </c>
    </row>
    <row r="23" spans="1:22" ht="15" customHeight="1">
      <c r="A23" s="87">
        <v>18</v>
      </c>
      <c r="B23" s="88" t="s">
        <v>71</v>
      </c>
      <c r="C23" s="95">
        <v>21411</v>
      </c>
      <c r="D23" s="97">
        <v>32137</v>
      </c>
      <c r="E23" s="95">
        <v>31140</v>
      </c>
      <c r="F23" s="97">
        <v>34809</v>
      </c>
      <c r="G23" s="91">
        <f t="shared" si="0"/>
        <v>145.43926019335856</v>
      </c>
      <c r="H23" s="91">
        <f t="shared" si="0"/>
        <v>108.31440395805458</v>
      </c>
      <c r="I23" s="172">
        <f>'CD Ratio_2'!C23+'CD Ratio_2'!D23+'CD Ratio_2'!E23</f>
        <v>32137</v>
      </c>
      <c r="J23" s="172">
        <f>'CD Ratio_2'!F23+'CD Ratio_2'!G23+'CD Ratio_2'!H23</f>
        <v>34809</v>
      </c>
      <c r="K23" s="171">
        <f t="shared" si="1"/>
        <v>0</v>
      </c>
      <c r="L23" s="171">
        <f t="shared" si="2"/>
        <v>0</v>
      </c>
      <c r="Q23" s="172">
        <f t="shared" si="3"/>
        <v>10726</v>
      </c>
      <c r="R23" s="172">
        <f t="shared" si="4"/>
        <v>3669</v>
      </c>
      <c r="U23" s="172">
        <f t="shared" si="5"/>
        <v>3669</v>
      </c>
      <c r="V23" s="343">
        <f t="shared" si="6"/>
        <v>36.69</v>
      </c>
    </row>
    <row r="24" spans="1:22" ht="15" customHeight="1">
      <c r="A24" s="87">
        <v>19</v>
      </c>
      <c r="B24" s="88" t="s">
        <v>86</v>
      </c>
      <c r="C24" s="95">
        <v>17920</v>
      </c>
      <c r="D24" s="97">
        <v>18258</v>
      </c>
      <c r="E24" s="95">
        <v>74658</v>
      </c>
      <c r="F24" s="97">
        <v>61150</v>
      </c>
      <c r="G24" s="91">
        <f t="shared" si="0"/>
        <v>416.61830357142856</v>
      </c>
      <c r="H24" s="91">
        <f t="shared" si="0"/>
        <v>334.9216781684741</v>
      </c>
      <c r="I24" s="172">
        <f>'CD Ratio_2'!C24+'CD Ratio_2'!D24+'CD Ratio_2'!E24</f>
        <v>18258</v>
      </c>
      <c r="J24" s="172">
        <f>'CD Ratio_2'!F24+'CD Ratio_2'!G24+'CD Ratio_2'!H24</f>
        <v>61150</v>
      </c>
      <c r="K24" s="171">
        <f t="shared" si="1"/>
        <v>0</v>
      </c>
      <c r="L24" s="171">
        <f t="shared" si="2"/>
        <v>0</v>
      </c>
      <c r="Q24" s="172">
        <f t="shared" si="3"/>
        <v>338</v>
      </c>
      <c r="R24" s="172">
        <f t="shared" si="4"/>
        <v>-13508</v>
      </c>
      <c r="U24" s="172">
        <f t="shared" si="5"/>
        <v>-13508</v>
      </c>
      <c r="V24" s="343">
        <f t="shared" si="6"/>
        <v>-135.08</v>
      </c>
    </row>
    <row r="25" spans="1:22" ht="15" customHeight="1">
      <c r="A25" s="87">
        <v>20</v>
      </c>
      <c r="B25" s="88" t="s">
        <v>87</v>
      </c>
      <c r="C25" s="95">
        <v>35890</v>
      </c>
      <c r="D25" s="97">
        <v>52389</v>
      </c>
      <c r="E25" s="95">
        <v>91449</v>
      </c>
      <c r="F25" s="97">
        <v>97032</v>
      </c>
      <c r="G25" s="91">
        <f t="shared" si="0"/>
        <v>254.803566453051</v>
      </c>
      <c r="H25" s="91">
        <f t="shared" si="0"/>
        <v>185.2144534157934</v>
      </c>
      <c r="I25" s="172">
        <f>'CD Ratio_2'!C25+'CD Ratio_2'!D25+'CD Ratio_2'!E25</f>
        <v>52389</v>
      </c>
      <c r="J25" s="172">
        <f>'CD Ratio_2'!F25+'CD Ratio_2'!G25+'CD Ratio_2'!H25</f>
        <v>97032</v>
      </c>
      <c r="K25" s="171">
        <f t="shared" si="1"/>
        <v>0</v>
      </c>
      <c r="L25" s="171">
        <f t="shared" si="2"/>
        <v>0</v>
      </c>
      <c r="Q25" s="172">
        <f t="shared" si="3"/>
        <v>16499</v>
      </c>
      <c r="R25" s="172">
        <f t="shared" si="4"/>
        <v>5583</v>
      </c>
      <c r="U25" s="172">
        <f t="shared" si="5"/>
        <v>5583</v>
      </c>
      <c r="V25" s="343">
        <f t="shared" si="6"/>
        <v>55.83</v>
      </c>
    </row>
    <row r="26" spans="1:22" ht="15" customHeight="1">
      <c r="A26" s="87">
        <v>21</v>
      </c>
      <c r="B26" s="88" t="s">
        <v>88</v>
      </c>
      <c r="C26" s="95">
        <v>24213</v>
      </c>
      <c r="D26" s="100">
        <v>14425</v>
      </c>
      <c r="E26" s="95">
        <v>97842</v>
      </c>
      <c r="F26" s="100">
        <v>7917</v>
      </c>
      <c r="G26" s="91">
        <f t="shared" si="0"/>
        <v>404.0887126750093</v>
      </c>
      <c r="H26" s="91">
        <f t="shared" si="0"/>
        <v>54.88388214904679</v>
      </c>
      <c r="I26" s="172">
        <f>'CD Ratio_2'!C26+'CD Ratio_2'!D26+'CD Ratio_2'!E26</f>
        <v>14425</v>
      </c>
      <c r="J26" s="172">
        <f>'CD Ratio_2'!F26+'CD Ratio_2'!G26+'CD Ratio_2'!H26</f>
        <v>7917</v>
      </c>
      <c r="K26" s="171">
        <f t="shared" si="1"/>
        <v>0</v>
      </c>
      <c r="L26" s="171">
        <f t="shared" si="2"/>
        <v>0</v>
      </c>
      <c r="Q26" s="172">
        <f t="shared" si="3"/>
        <v>-9788</v>
      </c>
      <c r="R26" s="172">
        <f t="shared" si="4"/>
        <v>-89925</v>
      </c>
      <c r="U26" s="172">
        <f t="shared" si="5"/>
        <v>-89925</v>
      </c>
      <c r="V26" s="343">
        <f t="shared" si="6"/>
        <v>-899.25</v>
      </c>
    </row>
    <row r="27" spans="1:22" ht="15" customHeight="1">
      <c r="A27" s="87">
        <v>22</v>
      </c>
      <c r="B27" s="88" t="s">
        <v>72</v>
      </c>
      <c r="C27" s="92">
        <v>10718406</v>
      </c>
      <c r="D27" s="90">
        <v>9019111</v>
      </c>
      <c r="E27" s="92">
        <v>5458681</v>
      </c>
      <c r="F27" s="90">
        <v>5640378</v>
      </c>
      <c r="G27" s="91">
        <f t="shared" si="0"/>
        <v>50.928104421497004</v>
      </c>
      <c r="H27" s="91">
        <f t="shared" si="0"/>
        <v>62.53807054819483</v>
      </c>
      <c r="I27" s="172">
        <f>'CD Ratio_2'!C27+'CD Ratio_2'!D27+'CD Ratio_2'!E27</f>
        <v>9019111</v>
      </c>
      <c r="J27" s="172">
        <f>'CD Ratio_2'!F27+'CD Ratio_2'!G27+'CD Ratio_2'!H27</f>
        <v>5640378</v>
      </c>
      <c r="K27" s="171">
        <f t="shared" si="1"/>
        <v>0</v>
      </c>
      <c r="L27" s="171">
        <f t="shared" si="2"/>
        <v>0</v>
      </c>
      <c r="Q27" s="176">
        <f t="shared" si="3"/>
        <v>-1699295</v>
      </c>
      <c r="R27" s="176">
        <f t="shared" si="4"/>
        <v>181697</v>
      </c>
      <c r="U27" s="172">
        <f t="shared" si="5"/>
        <v>181697</v>
      </c>
      <c r="V27" s="343">
        <f t="shared" si="6"/>
        <v>1816.97</v>
      </c>
    </row>
    <row r="28" spans="1:22" ht="15" customHeight="1">
      <c r="A28" s="87">
        <v>23</v>
      </c>
      <c r="B28" s="88" t="s">
        <v>67</v>
      </c>
      <c r="C28" s="95">
        <v>301289</v>
      </c>
      <c r="D28" s="100">
        <v>301452</v>
      </c>
      <c r="E28" s="95">
        <v>136776</v>
      </c>
      <c r="F28" s="100">
        <v>139602</v>
      </c>
      <c r="G28" s="91">
        <f t="shared" si="0"/>
        <v>45.39694446196177</v>
      </c>
      <c r="H28" s="91">
        <f t="shared" si="0"/>
        <v>46.30986027626289</v>
      </c>
      <c r="I28" s="172">
        <f>'CD Ratio_2'!C28+'CD Ratio_2'!D28+'CD Ratio_2'!E28</f>
        <v>301452</v>
      </c>
      <c r="J28" s="172">
        <f>'CD Ratio_2'!F28+'CD Ratio_2'!G28+'CD Ratio_2'!H28</f>
        <v>139602</v>
      </c>
      <c r="K28" s="171">
        <f t="shared" si="1"/>
        <v>0</v>
      </c>
      <c r="L28" s="171">
        <f t="shared" si="2"/>
        <v>0</v>
      </c>
      <c r="Q28" s="172">
        <f t="shared" si="3"/>
        <v>163</v>
      </c>
      <c r="R28" s="172">
        <f t="shared" si="4"/>
        <v>2826</v>
      </c>
      <c r="U28" s="172">
        <f t="shared" si="5"/>
        <v>2826</v>
      </c>
      <c r="V28" s="343">
        <f t="shared" si="6"/>
        <v>28.26</v>
      </c>
    </row>
    <row r="29" spans="1:22" ht="15" customHeight="1">
      <c r="A29" s="87">
        <v>24</v>
      </c>
      <c r="B29" s="88" t="s">
        <v>253</v>
      </c>
      <c r="C29" s="89">
        <v>614911</v>
      </c>
      <c r="D29" s="100">
        <v>600008</v>
      </c>
      <c r="E29" s="98">
        <v>443415</v>
      </c>
      <c r="F29" s="100">
        <v>441727</v>
      </c>
      <c r="G29" s="91">
        <f t="shared" si="0"/>
        <v>72.11043549391701</v>
      </c>
      <c r="H29" s="91">
        <f t="shared" si="0"/>
        <v>73.62018506419915</v>
      </c>
      <c r="I29" s="172">
        <f>'CD Ratio_2'!C29+'CD Ratio_2'!D29+'CD Ratio_2'!E29</f>
        <v>600008</v>
      </c>
      <c r="J29" s="172">
        <f>'CD Ratio_2'!F29+'CD Ratio_2'!G29+'CD Ratio_2'!H29</f>
        <v>441727</v>
      </c>
      <c r="K29" s="171">
        <f t="shared" si="1"/>
        <v>0</v>
      </c>
      <c r="L29" s="171">
        <f t="shared" si="2"/>
        <v>0</v>
      </c>
      <c r="Q29" s="172">
        <f t="shared" si="3"/>
        <v>-14903</v>
      </c>
      <c r="R29" s="172">
        <f t="shared" si="4"/>
        <v>-1688</v>
      </c>
      <c r="U29" s="172">
        <f t="shared" si="5"/>
        <v>-1688</v>
      </c>
      <c r="V29" s="343">
        <f t="shared" si="6"/>
        <v>-16.88</v>
      </c>
    </row>
    <row r="30" spans="1:23" ht="15" customHeight="1">
      <c r="A30" s="87">
        <v>25</v>
      </c>
      <c r="B30" s="88" t="s">
        <v>68</v>
      </c>
      <c r="C30" s="89">
        <v>1910759.3399999999</v>
      </c>
      <c r="D30" s="90">
        <v>1983832.59</v>
      </c>
      <c r="E30" s="89">
        <v>771128.17</v>
      </c>
      <c r="F30" s="90">
        <v>771979.34</v>
      </c>
      <c r="G30" s="91">
        <f t="shared" si="0"/>
        <v>40.35715821752833</v>
      </c>
      <c r="H30" s="91">
        <f t="shared" si="0"/>
        <v>38.91353251737839</v>
      </c>
      <c r="I30" s="172">
        <f>'CD Ratio_2'!C30+'CD Ratio_2'!D30+'CD Ratio_2'!E30</f>
        <v>1983832.59</v>
      </c>
      <c r="J30" s="172">
        <f>'CD Ratio_2'!F30+'CD Ratio_2'!G30+'CD Ratio_2'!H30</f>
        <v>771978.5</v>
      </c>
      <c r="K30" s="171">
        <f t="shared" si="1"/>
        <v>0</v>
      </c>
      <c r="L30" s="171">
        <f t="shared" si="2"/>
        <v>-0.8399999999674037</v>
      </c>
      <c r="Q30" s="172">
        <f t="shared" si="3"/>
        <v>73073.25000000023</v>
      </c>
      <c r="R30" s="172">
        <f t="shared" si="4"/>
        <v>851.1699999999255</v>
      </c>
      <c r="U30" s="172">
        <f t="shared" si="5"/>
        <v>851.1699999999255</v>
      </c>
      <c r="V30" s="343">
        <f t="shared" si="6"/>
        <v>8.511699999999255</v>
      </c>
      <c r="W30" s="343">
        <f>3483+151832</f>
        <v>155315</v>
      </c>
    </row>
    <row r="31" spans="1:22" ht="15" customHeight="1">
      <c r="A31" s="87">
        <v>26</v>
      </c>
      <c r="B31" s="88" t="s">
        <v>69</v>
      </c>
      <c r="C31" s="95">
        <v>25710</v>
      </c>
      <c r="D31" s="101">
        <v>26117</v>
      </c>
      <c r="E31" s="95">
        <v>37996</v>
      </c>
      <c r="F31" s="102">
        <v>32858</v>
      </c>
      <c r="G31" s="91">
        <f t="shared" si="0"/>
        <v>147.78685336444963</v>
      </c>
      <c r="H31" s="91">
        <f t="shared" si="0"/>
        <v>125.8107745912624</v>
      </c>
      <c r="I31" s="172">
        <f>'CD Ratio_2'!C31+'CD Ratio_2'!D31+'CD Ratio_2'!E31</f>
        <v>26117</v>
      </c>
      <c r="J31" s="172">
        <f>'CD Ratio_2'!F31+'CD Ratio_2'!G31+'CD Ratio_2'!H31</f>
        <v>32858</v>
      </c>
      <c r="K31" s="171">
        <f t="shared" si="1"/>
        <v>0</v>
      </c>
      <c r="L31" s="171">
        <f t="shared" si="2"/>
        <v>0</v>
      </c>
      <c r="Q31" s="172">
        <f t="shared" si="3"/>
        <v>407</v>
      </c>
      <c r="R31" s="172">
        <f t="shared" si="4"/>
        <v>-5138</v>
      </c>
      <c r="U31" s="172">
        <f t="shared" si="5"/>
        <v>-5138</v>
      </c>
      <c r="V31" s="343">
        <f t="shared" si="6"/>
        <v>-51.38</v>
      </c>
    </row>
    <row r="32" spans="1:24" ht="15" customHeight="1">
      <c r="A32" s="87">
        <v>27</v>
      </c>
      <c r="B32" s="88" t="s">
        <v>52</v>
      </c>
      <c r="C32" s="92">
        <v>128393</v>
      </c>
      <c r="D32" s="100">
        <v>130052</v>
      </c>
      <c r="E32" s="92">
        <v>70250</v>
      </c>
      <c r="F32" s="100">
        <v>72014</v>
      </c>
      <c r="G32" s="91">
        <f t="shared" si="0"/>
        <v>54.71482090145101</v>
      </c>
      <c r="H32" s="91">
        <f t="shared" si="0"/>
        <v>55.37323532125611</v>
      </c>
      <c r="I32" s="172">
        <f>'CD Ratio_2'!C32+'CD Ratio_2'!D32+'CD Ratio_2'!E32</f>
        <v>130052</v>
      </c>
      <c r="J32" s="172">
        <f>'CD Ratio_2'!F32+'CD Ratio_2'!G32+'CD Ratio_2'!H32</f>
        <v>72014</v>
      </c>
      <c r="K32" s="171">
        <f t="shared" si="1"/>
        <v>0</v>
      </c>
      <c r="L32" s="171">
        <f t="shared" si="2"/>
        <v>0</v>
      </c>
      <c r="Q32" s="172">
        <f t="shared" si="3"/>
        <v>1659</v>
      </c>
      <c r="R32" s="172">
        <f t="shared" si="4"/>
        <v>1764</v>
      </c>
      <c r="U32" s="172">
        <f t="shared" si="5"/>
        <v>1764</v>
      </c>
      <c r="V32" s="343">
        <f t="shared" si="6"/>
        <v>17.64</v>
      </c>
      <c r="X32" s="67">
        <f>W30*100/230239</f>
        <v>67.45816303927658</v>
      </c>
    </row>
    <row r="33" spans="1:24" ht="15" customHeight="1">
      <c r="A33" s="87"/>
      <c r="B33" s="103" t="s">
        <v>254</v>
      </c>
      <c r="C33" s="104">
        <f>SUM(C6:C32)</f>
        <v>24376851.01</v>
      </c>
      <c r="D33" s="104">
        <f>SUM(D6:D32)</f>
        <v>23023858.44</v>
      </c>
      <c r="E33" s="104">
        <f>SUM(E6:E32)</f>
        <v>14769321.6299</v>
      </c>
      <c r="F33" s="104">
        <f>SUM(F6:F32)</f>
        <v>15183184.25</v>
      </c>
      <c r="G33" s="105">
        <f t="shared" si="0"/>
        <v>60.587487792583424</v>
      </c>
      <c r="H33" s="105">
        <f t="shared" si="0"/>
        <v>65.94543781428844</v>
      </c>
      <c r="I33" s="172">
        <f>'CD Ratio_2'!C33+'CD Ratio_2'!D33+'CD Ratio_2'!E33</f>
        <v>23023858.490000002</v>
      </c>
      <c r="J33" s="172">
        <f>'CD Ratio_2'!F33+'CD Ratio_2'!G33+'CD Ratio_2'!H33</f>
        <v>15183183.250000002</v>
      </c>
      <c r="K33" s="171">
        <f t="shared" si="1"/>
        <v>0.05000000074505806</v>
      </c>
      <c r="L33" s="171">
        <f t="shared" si="2"/>
        <v>-0.9999999981373549</v>
      </c>
      <c r="Q33" s="172">
        <f t="shared" si="3"/>
        <v>-1352992.5700000003</v>
      </c>
      <c r="R33" s="172">
        <f t="shared" si="4"/>
        <v>413862.6201000009</v>
      </c>
      <c r="U33" s="172">
        <f t="shared" si="5"/>
        <v>413862.6201000009</v>
      </c>
      <c r="V33" s="343">
        <f t="shared" si="6"/>
        <v>4138.626201000009</v>
      </c>
      <c r="X33" s="343"/>
    </row>
    <row r="34" spans="1:22" ht="15" customHeight="1">
      <c r="A34" s="87">
        <v>28</v>
      </c>
      <c r="B34" s="88" t="s">
        <v>49</v>
      </c>
      <c r="C34" s="106">
        <v>629380.72</v>
      </c>
      <c r="D34" s="106">
        <v>635149</v>
      </c>
      <c r="E34" s="106">
        <v>589410</v>
      </c>
      <c r="F34" s="106">
        <v>571972</v>
      </c>
      <c r="G34" s="91">
        <f t="shared" si="0"/>
        <v>93.6491985328054</v>
      </c>
      <c r="H34" s="91">
        <f t="shared" si="0"/>
        <v>90.05320011524854</v>
      </c>
      <c r="I34" s="172">
        <f>'CD Ratio_2'!C34+'CD Ratio_2'!D34+'CD Ratio_2'!E34</f>
        <v>635149.17</v>
      </c>
      <c r="J34" s="172">
        <f>'CD Ratio_2'!F34+'CD Ratio_2'!G34+'CD Ratio_2'!H34</f>
        <v>571972.19</v>
      </c>
      <c r="K34" s="171">
        <f t="shared" si="1"/>
        <v>0.17000000004190952</v>
      </c>
      <c r="L34" s="171">
        <f t="shared" si="2"/>
        <v>0.18999999994412065</v>
      </c>
      <c r="Q34" s="172">
        <f t="shared" si="3"/>
        <v>5768.280000000028</v>
      </c>
      <c r="R34" s="172">
        <f t="shared" si="4"/>
        <v>-17438</v>
      </c>
      <c r="U34" s="172">
        <f t="shared" si="5"/>
        <v>-17438</v>
      </c>
      <c r="V34" s="343">
        <f t="shared" si="6"/>
        <v>-174.38</v>
      </c>
    </row>
    <row r="35" spans="1:22" ht="15" customHeight="1">
      <c r="A35" s="87">
        <v>29</v>
      </c>
      <c r="B35" s="107" t="s">
        <v>255</v>
      </c>
      <c r="C35" s="95">
        <v>12210</v>
      </c>
      <c r="D35" s="96">
        <v>12810</v>
      </c>
      <c r="E35" s="95">
        <v>39289</v>
      </c>
      <c r="F35" s="96">
        <v>41468</v>
      </c>
      <c r="G35" s="91">
        <f t="shared" si="0"/>
        <v>321.7772317772318</v>
      </c>
      <c r="H35" s="91">
        <f t="shared" si="0"/>
        <v>323.7158469945355</v>
      </c>
      <c r="I35" s="172">
        <f>'CD Ratio_2'!C35+'CD Ratio_2'!D35+'CD Ratio_2'!E35</f>
        <v>12810.276600000001</v>
      </c>
      <c r="J35" s="172">
        <f>'CD Ratio_2'!F35+'CD Ratio_2'!G35+'CD Ratio_2'!H35</f>
        <v>41468.7903</v>
      </c>
      <c r="K35" s="171">
        <f t="shared" si="1"/>
        <v>0.27660000000105356</v>
      </c>
      <c r="L35" s="171">
        <f t="shared" si="2"/>
        <v>0.7903000000005704</v>
      </c>
      <c r="Q35" s="172">
        <f t="shared" si="3"/>
        <v>600</v>
      </c>
      <c r="R35" s="172">
        <f t="shared" si="4"/>
        <v>2179</v>
      </c>
      <c r="U35" s="172">
        <f t="shared" si="5"/>
        <v>2179</v>
      </c>
      <c r="V35" s="343">
        <f t="shared" si="6"/>
        <v>21.79</v>
      </c>
    </row>
    <row r="36" spans="1:22" ht="15" customHeight="1">
      <c r="A36" s="87">
        <v>30</v>
      </c>
      <c r="B36" s="88" t="s">
        <v>280</v>
      </c>
      <c r="C36" s="95"/>
      <c r="D36" s="108">
        <v>2700</v>
      </c>
      <c r="E36" s="95"/>
      <c r="F36" s="109">
        <v>600</v>
      </c>
      <c r="G36" s="91">
        <v>0</v>
      </c>
      <c r="H36" s="91">
        <f aca="true" t="shared" si="9" ref="H36:H54">F36*100/D36</f>
        <v>22.22222222222222</v>
      </c>
      <c r="I36" s="172">
        <f>'CD Ratio_2'!C36+'CD Ratio_2'!D36+'CD Ratio_2'!E36</f>
        <v>2700</v>
      </c>
      <c r="J36" s="172">
        <f>'CD Ratio_2'!F36+'CD Ratio_2'!G36+'CD Ratio_2'!H36</f>
        <v>600</v>
      </c>
      <c r="K36" s="171">
        <f t="shared" si="1"/>
        <v>0</v>
      </c>
      <c r="L36" s="171">
        <f t="shared" si="2"/>
        <v>0</v>
      </c>
      <c r="Q36" s="172">
        <f t="shared" si="3"/>
        <v>2700</v>
      </c>
      <c r="R36" s="172">
        <f t="shared" si="4"/>
        <v>600</v>
      </c>
      <c r="U36" s="172">
        <f t="shared" si="5"/>
        <v>600</v>
      </c>
      <c r="V36" s="343">
        <f t="shared" si="6"/>
        <v>6</v>
      </c>
    </row>
    <row r="37" spans="1:22" ht="15" customHeight="1">
      <c r="A37" s="87">
        <v>31</v>
      </c>
      <c r="B37" s="88" t="s">
        <v>80</v>
      </c>
      <c r="C37" s="95"/>
      <c r="D37" s="108">
        <v>3961</v>
      </c>
      <c r="E37" s="95"/>
      <c r="F37" s="109">
        <v>1</v>
      </c>
      <c r="G37" s="91">
        <v>0</v>
      </c>
      <c r="H37" s="91">
        <f t="shared" si="9"/>
        <v>0.025246149962130773</v>
      </c>
      <c r="I37" s="172">
        <f>'CD Ratio_2'!C37+'CD Ratio_2'!D37+'CD Ratio_2'!E37</f>
        <v>3961</v>
      </c>
      <c r="J37" s="172">
        <f>'CD Ratio_2'!F37+'CD Ratio_2'!G37+'CD Ratio_2'!H37</f>
        <v>1</v>
      </c>
      <c r="K37" s="171">
        <f t="shared" si="1"/>
        <v>0</v>
      </c>
      <c r="L37" s="171">
        <f t="shared" si="2"/>
        <v>0</v>
      </c>
      <c r="Q37" s="172">
        <f t="shared" si="3"/>
        <v>3961</v>
      </c>
      <c r="R37" s="172">
        <f t="shared" si="4"/>
        <v>1</v>
      </c>
      <c r="U37" s="172">
        <f t="shared" si="5"/>
        <v>1</v>
      </c>
      <c r="V37" s="343">
        <f t="shared" si="6"/>
        <v>0.01</v>
      </c>
    </row>
    <row r="38" spans="1:24" ht="15" customHeight="1">
      <c r="A38" s="87">
        <v>32</v>
      </c>
      <c r="B38" s="88" t="s">
        <v>53</v>
      </c>
      <c r="C38" s="95">
        <v>4142.12</v>
      </c>
      <c r="D38" s="96">
        <v>4927</v>
      </c>
      <c r="E38" s="95">
        <v>7731</v>
      </c>
      <c r="F38" s="96">
        <v>8698</v>
      </c>
      <c r="G38" s="91">
        <f>E38*100/C38</f>
        <v>186.64355450831943</v>
      </c>
      <c r="H38" s="91">
        <f t="shared" si="9"/>
        <v>176.5374467221433</v>
      </c>
      <c r="I38" s="172">
        <f>'CD Ratio_2'!C38+'CD Ratio_2'!D38+'CD Ratio_2'!E38</f>
        <v>4927</v>
      </c>
      <c r="J38" s="172">
        <f>'CD Ratio_2'!F38+'CD Ratio_2'!G38+'CD Ratio_2'!H38</f>
        <v>8698</v>
      </c>
      <c r="K38" s="171">
        <f t="shared" si="1"/>
        <v>0</v>
      </c>
      <c r="L38" s="171">
        <f t="shared" si="2"/>
        <v>0</v>
      </c>
      <c r="Q38" s="172">
        <f t="shared" si="3"/>
        <v>784.8800000000001</v>
      </c>
      <c r="R38" s="172">
        <f t="shared" si="4"/>
        <v>967</v>
      </c>
      <c r="U38" s="172">
        <f t="shared" si="5"/>
        <v>967</v>
      </c>
      <c r="V38" s="343">
        <f t="shared" si="6"/>
        <v>9.67</v>
      </c>
      <c r="X38" s="67">
        <f>X33*100/D33</f>
        <v>0</v>
      </c>
    </row>
    <row r="39" spans="1:22" ht="15" customHeight="1">
      <c r="A39" s="87">
        <v>33</v>
      </c>
      <c r="B39" s="88" t="s">
        <v>257</v>
      </c>
      <c r="C39" s="95"/>
      <c r="D39" s="108">
        <v>11958</v>
      </c>
      <c r="E39" s="95"/>
      <c r="F39" s="109">
        <v>38864</v>
      </c>
      <c r="G39" s="91">
        <v>0</v>
      </c>
      <c r="H39" s="91">
        <f t="shared" si="9"/>
        <v>325.00418130122097</v>
      </c>
      <c r="I39" s="172">
        <f>'CD Ratio_2'!C39+'CD Ratio_2'!D39+'CD Ratio_2'!E39</f>
        <v>11958</v>
      </c>
      <c r="J39" s="172">
        <f>'CD Ratio_2'!F39+'CD Ratio_2'!G39+'CD Ratio_2'!H39</f>
        <v>38864</v>
      </c>
      <c r="K39" s="171">
        <f t="shared" si="1"/>
        <v>0</v>
      </c>
      <c r="L39" s="171">
        <f t="shared" si="2"/>
        <v>0</v>
      </c>
      <c r="Q39" s="172">
        <f t="shared" si="3"/>
        <v>11958</v>
      </c>
      <c r="R39" s="172">
        <f t="shared" si="4"/>
        <v>38864</v>
      </c>
      <c r="U39" s="172">
        <f t="shared" si="5"/>
        <v>38864</v>
      </c>
      <c r="V39" s="343">
        <f t="shared" si="6"/>
        <v>388.64</v>
      </c>
    </row>
    <row r="40" spans="1:22" ht="15" customHeight="1">
      <c r="A40" s="87">
        <v>34</v>
      </c>
      <c r="B40" s="88" t="s">
        <v>91</v>
      </c>
      <c r="C40" s="95">
        <v>774</v>
      </c>
      <c r="D40" s="100">
        <v>608.36</v>
      </c>
      <c r="E40" s="95">
        <v>35</v>
      </c>
      <c r="F40" s="100">
        <v>28</v>
      </c>
      <c r="G40" s="91">
        <f>E40*100/C40</f>
        <v>4.521963824289406</v>
      </c>
      <c r="H40" s="91">
        <f t="shared" si="9"/>
        <v>4.60253797093826</v>
      </c>
      <c r="I40" s="172">
        <f>'CD Ratio_2'!C40+'CD Ratio_2'!D40+'CD Ratio_2'!E40</f>
        <v>608</v>
      </c>
      <c r="J40" s="172">
        <f>'CD Ratio_2'!F40+'CD Ratio_2'!G40+'CD Ratio_2'!H40</f>
        <v>28</v>
      </c>
      <c r="K40" s="171">
        <f t="shared" si="1"/>
        <v>-0.36000000000001364</v>
      </c>
      <c r="L40" s="171">
        <f t="shared" si="2"/>
        <v>0</v>
      </c>
      <c r="Q40" s="172">
        <f t="shared" si="3"/>
        <v>-165.64</v>
      </c>
      <c r="R40" s="172">
        <f t="shared" si="4"/>
        <v>-7</v>
      </c>
      <c r="U40" s="172">
        <f t="shared" si="5"/>
        <v>-7</v>
      </c>
      <c r="V40" s="343">
        <f t="shared" si="6"/>
        <v>-0.07</v>
      </c>
    </row>
    <row r="41" spans="1:22" ht="15" customHeight="1">
      <c r="A41" s="87">
        <v>35</v>
      </c>
      <c r="B41" s="88" t="s">
        <v>259</v>
      </c>
      <c r="C41" s="92">
        <v>42760.78</v>
      </c>
      <c r="D41" s="89">
        <v>41546</v>
      </c>
      <c r="E41" s="92">
        <v>15919</v>
      </c>
      <c r="F41" s="89">
        <v>15259</v>
      </c>
      <c r="G41" s="91">
        <f>E41*100/C41</f>
        <v>37.2280393388521</v>
      </c>
      <c r="H41" s="91">
        <f>F41*100/D41</f>
        <v>36.72796418427767</v>
      </c>
      <c r="I41" s="172">
        <f>'CD Ratio_2'!C41+'CD Ratio_2'!D41+'CD Ratio_2'!E41</f>
        <v>41546</v>
      </c>
      <c r="J41" s="172">
        <f>'CD Ratio_2'!F41+'CD Ratio_2'!G41+'CD Ratio_2'!H41</f>
        <v>15259</v>
      </c>
      <c r="K41" s="171">
        <f t="shared" si="1"/>
        <v>0</v>
      </c>
      <c r="L41" s="171">
        <f t="shared" si="2"/>
        <v>0</v>
      </c>
      <c r="Q41" s="172">
        <f t="shared" si="3"/>
        <v>-1214.7799999999988</v>
      </c>
      <c r="R41" s="172">
        <f t="shared" si="4"/>
        <v>-660</v>
      </c>
      <c r="U41" s="172">
        <f t="shared" si="5"/>
        <v>-660</v>
      </c>
      <c r="V41" s="343">
        <f t="shared" si="6"/>
        <v>-6.6</v>
      </c>
    </row>
    <row r="42" spans="1:22" ht="15" customHeight="1">
      <c r="A42" s="87">
        <v>36</v>
      </c>
      <c r="B42" s="88" t="s">
        <v>73</v>
      </c>
      <c r="C42" s="89">
        <v>617553.9143898999</v>
      </c>
      <c r="D42" s="89">
        <v>666896</v>
      </c>
      <c r="E42" s="89">
        <v>1103354.3836358986</v>
      </c>
      <c r="F42" s="89">
        <v>1121228</v>
      </c>
      <c r="G42" s="91">
        <f>E42*100/C42</f>
        <v>178.66527244442057</v>
      </c>
      <c r="H42" s="91">
        <f t="shared" si="9"/>
        <v>168.12636453060148</v>
      </c>
      <c r="I42" s="172">
        <f>'CD Ratio_2'!C42+'CD Ratio_2'!D42+'CD Ratio_2'!E42</f>
        <v>666895.8164458</v>
      </c>
      <c r="J42" s="172">
        <f>'CD Ratio_2'!F42+'CD Ratio_2'!G42+'CD Ratio_2'!H42</f>
        <v>1121228.0238322923</v>
      </c>
      <c r="K42" s="171">
        <f t="shared" si="1"/>
        <v>-0.1835541999898851</v>
      </c>
      <c r="L42" s="171">
        <f t="shared" si="2"/>
        <v>0.023832292295992374</v>
      </c>
      <c r="Q42" s="172">
        <f t="shared" si="3"/>
        <v>49342.08561010007</v>
      </c>
      <c r="R42" s="172">
        <f t="shared" si="4"/>
        <v>17873.616364101414</v>
      </c>
      <c r="U42" s="172">
        <f t="shared" si="5"/>
        <v>17873.616364101414</v>
      </c>
      <c r="V42" s="343">
        <f t="shared" si="6"/>
        <v>178.73616364101414</v>
      </c>
    </row>
    <row r="43" spans="1:22" ht="15" customHeight="1">
      <c r="A43" s="87">
        <v>37</v>
      </c>
      <c r="B43" s="88" t="s">
        <v>74</v>
      </c>
      <c r="C43" s="110">
        <v>558632.93</v>
      </c>
      <c r="D43" s="89">
        <v>558449.4396</v>
      </c>
      <c r="E43" s="110">
        <v>1035618</v>
      </c>
      <c r="F43" s="89">
        <v>1038802.319</v>
      </c>
      <c r="G43" s="91">
        <f>E43*100/C43</f>
        <v>185.38434531598412</v>
      </c>
      <c r="H43" s="91">
        <f t="shared" si="9"/>
        <v>186.01546448753925</v>
      </c>
      <c r="I43" s="172">
        <f>'CD Ratio_2'!C43+'CD Ratio_2'!D43+'CD Ratio_2'!E43</f>
        <v>558449.3915256996</v>
      </c>
      <c r="J43" s="172">
        <f>'CD Ratio_2'!F43+'CD Ratio_2'!G43+'CD Ratio_2'!H43</f>
        <v>1038802.3192238</v>
      </c>
      <c r="K43" s="171">
        <f t="shared" si="1"/>
        <v>-0.04807430040091276</v>
      </c>
      <c r="L43" s="171">
        <f t="shared" si="2"/>
        <v>0.00022379995789378881</v>
      </c>
      <c r="Q43" s="172">
        <f t="shared" si="3"/>
        <v>-183.49040000000969</v>
      </c>
      <c r="R43" s="172">
        <f t="shared" si="4"/>
        <v>3184.3190000000177</v>
      </c>
      <c r="U43" s="172">
        <f t="shared" si="5"/>
        <v>3184.3190000000177</v>
      </c>
      <c r="V43" s="343">
        <f t="shared" si="6"/>
        <v>31.843190000000178</v>
      </c>
    </row>
    <row r="44" spans="1:22" ht="15" customHeight="1">
      <c r="A44" s="87">
        <v>38</v>
      </c>
      <c r="B44" s="88" t="s">
        <v>260</v>
      </c>
      <c r="C44" s="95"/>
      <c r="D44" s="108">
        <v>360</v>
      </c>
      <c r="E44" s="95"/>
      <c r="F44" s="109">
        <v>2685</v>
      </c>
      <c r="G44" s="91">
        <v>0</v>
      </c>
      <c r="H44" s="91">
        <f t="shared" si="9"/>
        <v>745.8333333333334</v>
      </c>
      <c r="I44" s="172">
        <f>'CD Ratio_2'!C44+'CD Ratio_2'!D44+'CD Ratio_2'!E44</f>
        <v>360</v>
      </c>
      <c r="J44" s="172">
        <f>'CD Ratio_2'!F44+'CD Ratio_2'!G44+'CD Ratio_2'!H44</f>
        <v>2685</v>
      </c>
      <c r="K44" s="171">
        <f t="shared" si="1"/>
        <v>0</v>
      </c>
      <c r="L44" s="171">
        <f t="shared" si="2"/>
        <v>0</v>
      </c>
      <c r="Q44" s="172">
        <f t="shared" si="3"/>
        <v>360</v>
      </c>
      <c r="R44" s="172">
        <f t="shared" si="4"/>
        <v>2685</v>
      </c>
      <c r="U44" s="172">
        <f t="shared" si="5"/>
        <v>2685</v>
      </c>
      <c r="V44" s="343">
        <f t="shared" si="6"/>
        <v>26.85</v>
      </c>
    </row>
    <row r="45" spans="1:22" ht="15" customHeight="1">
      <c r="A45" s="87">
        <v>39</v>
      </c>
      <c r="B45" s="88" t="s">
        <v>92</v>
      </c>
      <c r="C45" s="95">
        <v>280695</v>
      </c>
      <c r="D45" s="90">
        <v>84665</v>
      </c>
      <c r="E45" s="95">
        <v>262113</v>
      </c>
      <c r="F45" s="96">
        <v>239001</v>
      </c>
      <c r="G45" s="91">
        <f>E45*100/C45</f>
        <v>93.38000320632715</v>
      </c>
      <c r="H45" s="91">
        <f t="shared" si="9"/>
        <v>282.29020256304256</v>
      </c>
      <c r="I45" s="172">
        <f>'CD Ratio_2'!C45+'CD Ratio_2'!D45+'CD Ratio_2'!E45</f>
        <v>84664.83586197675</v>
      </c>
      <c r="J45" s="172">
        <f>'CD Ratio_2'!F45+'CD Ratio_2'!G45+'CD Ratio_2'!H45</f>
        <v>239000.6853241564</v>
      </c>
      <c r="K45" s="171">
        <f t="shared" si="1"/>
        <v>-0.16413802324677818</v>
      </c>
      <c r="L45" s="171">
        <f t="shared" si="2"/>
        <v>-0.31467584360507317</v>
      </c>
      <c r="Q45" s="172">
        <f t="shared" si="3"/>
        <v>-196030</v>
      </c>
      <c r="R45" s="172">
        <f t="shared" si="4"/>
        <v>-23112</v>
      </c>
      <c r="U45" s="172">
        <f t="shared" si="5"/>
        <v>-23112</v>
      </c>
      <c r="V45" s="343">
        <f t="shared" si="6"/>
        <v>-231.12</v>
      </c>
    </row>
    <row r="46" spans="1:22" ht="15" customHeight="1">
      <c r="A46" s="87">
        <v>40</v>
      </c>
      <c r="B46" s="88" t="s">
        <v>281</v>
      </c>
      <c r="C46" s="95">
        <v>5162.37</v>
      </c>
      <c r="D46" s="100">
        <v>11971</v>
      </c>
      <c r="E46" s="95">
        <v>1460.7</v>
      </c>
      <c r="F46" s="100">
        <v>1536</v>
      </c>
      <c r="G46" s="91">
        <f>E46*100/C46</f>
        <v>28.29514350966707</v>
      </c>
      <c r="H46" s="91">
        <f>F46*100/D46</f>
        <v>12.8310082699858</v>
      </c>
      <c r="I46" s="172">
        <f>'CD Ratio_2'!C46+'CD Ratio_2'!D46+'CD Ratio_2'!E46</f>
        <v>11971</v>
      </c>
      <c r="J46" s="172">
        <f>'CD Ratio_2'!F46+'CD Ratio_2'!G46+'CD Ratio_2'!H46</f>
        <v>1536</v>
      </c>
      <c r="K46" s="171">
        <f t="shared" si="1"/>
        <v>0</v>
      </c>
      <c r="L46" s="171">
        <f t="shared" si="2"/>
        <v>0</v>
      </c>
      <c r="Q46" s="172">
        <f t="shared" si="3"/>
        <v>6808.63</v>
      </c>
      <c r="R46" s="172">
        <f t="shared" si="4"/>
        <v>75.29999999999995</v>
      </c>
      <c r="U46" s="172">
        <f t="shared" si="5"/>
        <v>75.29999999999995</v>
      </c>
      <c r="V46" s="343">
        <f t="shared" si="6"/>
        <v>0.7529999999999996</v>
      </c>
    </row>
    <row r="47" spans="1:22" ht="15" customHeight="1">
      <c r="A47" s="87">
        <v>41</v>
      </c>
      <c r="B47" s="88" t="s">
        <v>90</v>
      </c>
      <c r="C47" s="95">
        <v>18829.98</v>
      </c>
      <c r="D47" s="96">
        <v>20098</v>
      </c>
      <c r="E47" s="95">
        <v>25200.21</v>
      </c>
      <c r="F47" s="96">
        <v>32769</v>
      </c>
      <c r="G47" s="91">
        <f>E47*100/C47</f>
        <v>133.83025366994548</v>
      </c>
      <c r="H47" s="91">
        <f t="shared" si="9"/>
        <v>163.04607423624242</v>
      </c>
      <c r="I47" s="172">
        <f>'CD Ratio_2'!C47+'CD Ratio_2'!D47+'CD Ratio_2'!E47</f>
        <v>20098</v>
      </c>
      <c r="J47" s="172">
        <f>'CD Ratio_2'!F47+'CD Ratio_2'!G47+'CD Ratio_2'!H47</f>
        <v>32769</v>
      </c>
      <c r="K47" s="171">
        <f t="shared" si="1"/>
        <v>0</v>
      </c>
      <c r="L47" s="171">
        <f t="shared" si="2"/>
        <v>0</v>
      </c>
      <c r="Q47" s="172">
        <f t="shared" si="3"/>
        <v>1268.0200000000004</v>
      </c>
      <c r="R47" s="172">
        <f t="shared" si="4"/>
        <v>7568.790000000001</v>
      </c>
      <c r="U47" s="172">
        <f t="shared" si="5"/>
        <v>7568.790000000001</v>
      </c>
      <c r="V47" s="343">
        <f t="shared" si="6"/>
        <v>75.68790000000001</v>
      </c>
    </row>
    <row r="48" spans="1:22" ht="15" customHeight="1">
      <c r="A48" s="87">
        <v>42</v>
      </c>
      <c r="B48" s="88" t="s">
        <v>95</v>
      </c>
      <c r="C48" s="95">
        <v>0</v>
      </c>
      <c r="D48" s="96">
        <v>18899</v>
      </c>
      <c r="E48" s="95">
        <v>0</v>
      </c>
      <c r="F48" s="96">
        <v>14046</v>
      </c>
      <c r="G48" s="91">
        <v>0</v>
      </c>
      <c r="H48" s="91">
        <f t="shared" si="9"/>
        <v>74.32139266627864</v>
      </c>
      <c r="I48" s="172">
        <f>'CD Ratio_2'!C48+'CD Ratio_2'!D48+'CD Ratio_2'!E48</f>
        <v>18899</v>
      </c>
      <c r="J48" s="172">
        <f>'CD Ratio_2'!F48+'CD Ratio_2'!G48+'CD Ratio_2'!H48</f>
        <v>14046</v>
      </c>
      <c r="K48" s="171">
        <f t="shared" si="1"/>
        <v>0</v>
      </c>
      <c r="L48" s="171">
        <f t="shared" si="2"/>
        <v>0</v>
      </c>
      <c r="Q48" s="172">
        <f t="shared" si="3"/>
        <v>18899</v>
      </c>
      <c r="R48" s="172">
        <f t="shared" si="4"/>
        <v>14046</v>
      </c>
      <c r="U48" s="172">
        <f t="shared" si="5"/>
        <v>14046</v>
      </c>
      <c r="V48" s="343">
        <f t="shared" si="6"/>
        <v>140.46</v>
      </c>
    </row>
    <row r="49" spans="1:22" ht="15" customHeight="1">
      <c r="A49" s="87">
        <v>43</v>
      </c>
      <c r="B49" s="88" t="s">
        <v>75</v>
      </c>
      <c r="C49" s="95">
        <v>53292</v>
      </c>
      <c r="D49" s="97">
        <v>96672</v>
      </c>
      <c r="E49" s="95">
        <v>109397</v>
      </c>
      <c r="F49" s="97">
        <v>197570</v>
      </c>
      <c r="G49" s="91">
        <f>E49*100/C49</f>
        <v>205.2784658110035</v>
      </c>
      <c r="H49" s="91">
        <f t="shared" si="9"/>
        <v>204.37148295266468</v>
      </c>
      <c r="I49" s="172">
        <f>'CD Ratio_2'!C49+'CD Ratio_2'!D49+'CD Ratio_2'!E49</f>
        <v>96672</v>
      </c>
      <c r="J49" s="172">
        <f>'CD Ratio_2'!F49+'CD Ratio_2'!G49+'CD Ratio_2'!H49</f>
        <v>197570</v>
      </c>
      <c r="K49" s="171">
        <f t="shared" si="1"/>
        <v>0</v>
      </c>
      <c r="L49" s="171">
        <f t="shared" si="2"/>
        <v>0</v>
      </c>
      <c r="Q49" s="172">
        <f t="shared" si="3"/>
        <v>43380</v>
      </c>
      <c r="R49" s="172">
        <f t="shared" si="4"/>
        <v>88173</v>
      </c>
      <c r="U49" s="172">
        <f t="shared" si="5"/>
        <v>88173</v>
      </c>
      <c r="V49" s="343">
        <f t="shared" si="6"/>
        <v>881.73</v>
      </c>
    </row>
    <row r="50" spans="1:22" ht="15" customHeight="1">
      <c r="A50" s="87">
        <v>44</v>
      </c>
      <c r="B50" s="88" t="s">
        <v>93</v>
      </c>
      <c r="C50" s="95">
        <v>21603</v>
      </c>
      <c r="D50" s="100">
        <v>11418</v>
      </c>
      <c r="E50" s="95">
        <v>1009</v>
      </c>
      <c r="F50" s="100">
        <v>3741</v>
      </c>
      <c r="G50" s="91">
        <f>E50*100/C50</f>
        <v>4.670647595241402</v>
      </c>
      <c r="H50" s="91">
        <f t="shared" si="9"/>
        <v>32.76405675249606</v>
      </c>
      <c r="I50" s="172">
        <f>'CD Ratio_2'!C50+'CD Ratio_2'!D50+'CD Ratio_2'!E50</f>
        <v>11418</v>
      </c>
      <c r="J50" s="172">
        <f>'CD Ratio_2'!F50+'CD Ratio_2'!G50+'CD Ratio_2'!H50</f>
        <v>3741</v>
      </c>
      <c r="K50" s="171">
        <f t="shared" si="1"/>
        <v>0</v>
      </c>
      <c r="L50" s="171">
        <f t="shared" si="2"/>
        <v>0</v>
      </c>
      <c r="Q50" s="172">
        <f t="shared" si="3"/>
        <v>-10185</v>
      </c>
      <c r="R50" s="172">
        <f t="shared" si="4"/>
        <v>2732</v>
      </c>
      <c r="U50" s="172">
        <f t="shared" si="5"/>
        <v>2732</v>
      </c>
      <c r="V50" s="343">
        <f t="shared" si="6"/>
        <v>27.32</v>
      </c>
    </row>
    <row r="51" spans="1:22" ht="15" customHeight="1">
      <c r="A51" s="87">
        <v>45</v>
      </c>
      <c r="B51" s="88" t="s">
        <v>77</v>
      </c>
      <c r="C51" s="95">
        <v>42523</v>
      </c>
      <c r="D51" s="96">
        <v>52680</v>
      </c>
      <c r="E51" s="95">
        <v>77840</v>
      </c>
      <c r="F51" s="100">
        <v>78373.0693641596</v>
      </c>
      <c r="G51" s="91">
        <f>E51*100/C51</f>
        <v>183.05387672553678</v>
      </c>
      <c r="H51" s="91">
        <f t="shared" si="9"/>
        <v>148.77196158724297</v>
      </c>
      <c r="I51" s="172">
        <f>'CD Ratio_2'!C51+'CD Ratio_2'!D51+'CD Ratio_2'!E51</f>
        <v>52680</v>
      </c>
      <c r="J51" s="172">
        <f>'CD Ratio_2'!F51+'CD Ratio_2'!G51+'CD Ratio_2'!H51</f>
        <v>78373.0693641596</v>
      </c>
      <c r="K51" s="171">
        <f t="shared" si="1"/>
        <v>0</v>
      </c>
      <c r="L51" s="171">
        <f t="shared" si="2"/>
        <v>0</v>
      </c>
      <c r="Q51" s="172">
        <f t="shared" si="3"/>
        <v>10157</v>
      </c>
      <c r="R51" s="172">
        <f t="shared" si="4"/>
        <v>533.0693641596008</v>
      </c>
      <c r="U51" s="172">
        <f t="shared" si="5"/>
        <v>533.0693641596008</v>
      </c>
      <c r="V51" s="343">
        <f t="shared" si="6"/>
        <v>5.3306936415960084</v>
      </c>
    </row>
    <row r="52" spans="1:22" ht="15" customHeight="1">
      <c r="A52" s="87">
        <v>46</v>
      </c>
      <c r="B52" s="88" t="s">
        <v>267</v>
      </c>
      <c r="C52" s="95">
        <v>12456</v>
      </c>
      <c r="D52" s="111">
        <v>12692</v>
      </c>
      <c r="E52" s="95">
        <v>4621</v>
      </c>
      <c r="F52" s="111">
        <v>4776</v>
      </c>
      <c r="G52" s="91">
        <f>E52*100/C52</f>
        <v>37.098587026332694</v>
      </c>
      <c r="H52" s="91">
        <f>F52*100/D52</f>
        <v>37.63000315159155</v>
      </c>
      <c r="I52" s="172">
        <f>'CD Ratio_2'!C52+'CD Ratio_2'!D52+'CD Ratio_2'!E52</f>
        <v>12692</v>
      </c>
      <c r="J52" s="172">
        <f>'CD Ratio_2'!F52+'CD Ratio_2'!G52+'CD Ratio_2'!H52</f>
        <v>4776</v>
      </c>
      <c r="K52" s="171">
        <f t="shared" si="1"/>
        <v>0</v>
      </c>
      <c r="L52" s="171">
        <f t="shared" si="2"/>
        <v>0</v>
      </c>
      <c r="Q52" s="172">
        <f t="shared" si="3"/>
        <v>236</v>
      </c>
      <c r="R52" s="172">
        <f t="shared" si="4"/>
        <v>155</v>
      </c>
      <c r="U52" s="172">
        <f t="shared" si="5"/>
        <v>155</v>
      </c>
      <c r="V52" s="343">
        <f t="shared" si="6"/>
        <v>1.55</v>
      </c>
    </row>
    <row r="53" spans="1:22" ht="15" customHeight="1">
      <c r="A53" s="87">
        <v>47</v>
      </c>
      <c r="B53" s="88" t="s">
        <v>79</v>
      </c>
      <c r="C53" s="95"/>
      <c r="D53" s="108">
        <v>31879</v>
      </c>
      <c r="E53" s="95"/>
      <c r="F53" s="109">
        <v>4581</v>
      </c>
      <c r="G53" s="91">
        <v>0</v>
      </c>
      <c r="H53" s="91">
        <f t="shared" si="9"/>
        <v>14.369961416606543</v>
      </c>
      <c r="I53" s="172">
        <f>'CD Ratio_2'!C53+'CD Ratio_2'!D53+'CD Ratio_2'!E53</f>
        <v>31879</v>
      </c>
      <c r="J53" s="172">
        <f>'CD Ratio_2'!F53+'CD Ratio_2'!G53+'CD Ratio_2'!H53</f>
        <v>4581</v>
      </c>
      <c r="K53" s="171">
        <f t="shared" si="1"/>
        <v>0</v>
      </c>
      <c r="L53" s="171">
        <f t="shared" si="2"/>
        <v>0</v>
      </c>
      <c r="Q53" s="172">
        <f t="shared" si="3"/>
        <v>31879</v>
      </c>
      <c r="R53" s="172">
        <f t="shared" si="4"/>
        <v>4581</v>
      </c>
      <c r="U53" s="172">
        <f t="shared" si="5"/>
        <v>4581</v>
      </c>
      <c r="V53" s="343">
        <f t="shared" si="6"/>
        <v>45.81</v>
      </c>
    </row>
    <row r="54" spans="1:22" ht="15" customHeight="1">
      <c r="A54" s="87">
        <v>48</v>
      </c>
      <c r="B54" s="88" t="s">
        <v>282</v>
      </c>
      <c r="C54" s="95"/>
      <c r="D54" s="108">
        <v>1009</v>
      </c>
      <c r="E54" s="95"/>
      <c r="F54" s="109">
        <v>3307</v>
      </c>
      <c r="G54" s="91">
        <v>0</v>
      </c>
      <c r="H54" s="91">
        <f t="shared" si="9"/>
        <v>327.7502477700694</v>
      </c>
      <c r="I54" s="172">
        <f>'CD Ratio_2'!C54+'CD Ratio_2'!D54+'CD Ratio_2'!E54</f>
        <v>1009</v>
      </c>
      <c r="J54" s="172">
        <f>'CD Ratio_2'!F54+'CD Ratio_2'!G54+'CD Ratio_2'!H54</f>
        <v>3307</v>
      </c>
      <c r="K54" s="171">
        <f t="shared" si="1"/>
        <v>0</v>
      </c>
      <c r="L54" s="171">
        <f t="shared" si="2"/>
        <v>0</v>
      </c>
      <c r="Q54" s="172">
        <f t="shared" si="3"/>
        <v>1009</v>
      </c>
      <c r="R54" s="172">
        <f t="shared" si="4"/>
        <v>3307</v>
      </c>
      <c r="U54" s="172">
        <f t="shared" si="5"/>
        <v>3307</v>
      </c>
      <c r="V54" s="343">
        <f t="shared" si="6"/>
        <v>33.07</v>
      </c>
    </row>
    <row r="55" spans="1:22" ht="15" customHeight="1">
      <c r="A55" s="87">
        <v>49</v>
      </c>
      <c r="B55" s="88" t="s">
        <v>78</v>
      </c>
      <c r="C55" s="95">
        <v>91670</v>
      </c>
      <c r="D55" s="97">
        <v>96600</v>
      </c>
      <c r="E55" s="95">
        <v>58821</v>
      </c>
      <c r="F55" s="97">
        <v>79100</v>
      </c>
      <c r="G55" s="91">
        <f>E55*100/C55</f>
        <v>64.16603032616996</v>
      </c>
      <c r="H55" s="91">
        <f>F55*100/D55</f>
        <v>81.8840579710145</v>
      </c>
      <c r="I55" s="172">
        <f>'CD Ratio_2'!C55+'CD Ratio_2'!D55+'CD Ratio_2'!E55</f>
        <v>96600</v>
      </c>
      <c r="J55" s="172">
        <f>'CD Ratio_2'!F55+'CD Ratio_2'!G55+'CD Ratio_2'!H55</f>
        <v>79100</v>
      </c>
      <c r="K55" s="171">
        <f t="shared" si="1"/>
        <v>0</v>
      </c>
      <c r="L55" s="171">
        <f t="shared" si="2"/>
        <v>0</v>
      </c>
      <c r="Q55" s="172">
        <f t="shared" si="3"/>
        <v>4930</v>
      </c>
      <c r="R55" s="172">
        <f t="shared" si="4"/>
        <v>20279</v>
      </c>
      <c r="U55" s="172">
        <f t="shared" si="5"/>
        <v>20279</v>
      </c>
      <c r="V55" s="343">
        <f t="shared" si="6"/>
        <v>202.79</v>
      </c>
    </row>
    <row r="56" spans="1:22" ht="15" customHeight="1">
      <c r="A56" s="87"/>
      <c r="B56" s="103" t="s">
        <v>283</v>
      </c>
      <c r="C56" s="104">
        <f>SUM(C34:C55)</f>
        <v>2391685.8143899003</v>
      </c>
      <c r="D56" s="104">
        <f>SUM(D34:D55)</f>
        <v>2377947.7996</v>
      </c>
      <c r="E56" s="104">
        <f>SUM(E34:E55)</f>
        <v>3331818.2936358987</v>
      </c>
      <c r="F56" s="104">
        <f>SUM(F34:F55)</f>
        <v>3498405.3883641595</v>
      </c>
      <c r="G56" s="105">
        <f aca="true" t="shared" si="10" ref="G56:H64">E56*100/C56</f>
        <v>139.30836038703598</v>
      </c>
      <c r="H56" s="105">
        <f t="shared" si="10"/>
        <v>147.11867892779793</v>
      </c>
      <c r="I56" s="172">
        <f>'CD Ratio_2'!C56+'CD Ratio_2'!D56+'CD Ratio_2'!E56</f>
        <v>2377947.4904334764</v>
      </c>
      <c r="J56" s="172">
        <f>'CD Ratio_2'!F56+'CD Ratio_2'!G56+'CD Ratio_2'!H56</f>
        <v>3498406.0780444085</v>
      </c>
      <c r="K56" s="171">
        <f t="shared" si="1"/>
        <v>-0.30916652362793684</v>
      </c>
      <c r="L56" s="171">
        <f t="shared" si="2"/>
        <v>0.6896802489645779</v>
      </c>
      <c r="Q56" s="172">
        <f t="shared" si="3"/>
        <v>-13738.014789900277</v>
      </c>
      <c r="R56" s="172">
        <f t="shared" si="4"/>
        <v>166587.09472826077</v>
      </c>
      <c r="U56" s="172">
        <f t="shared" si="5"/>
        <v>166587.09472826077</v>
      </c>
      <c r="V56" s="343">
        <f t="shared" si="6"/>
        <v>1665.8709472826076</v>
      </c>
    </row>
    <row r="57" spans="1:22" ht="15" customHeight="1">
      <c r="A57" s="87">
        <v>50</v>
      </c>
      <c r="B57" s="88" t="s">
        <v>48</v>
      </c>
      <c r="C57" s="113">
        <v>628452</v>
      </c>
      <c r="D57" s="89">
        <v>643539</v>
      </c>
      <c r="E57" s="113">
        <v>385184</v>
      </c>
      <c r="F57" s="89">
        <v>381315</v>
      </c>
      <c r="G57" s="91">
        <f>E57*100/C57</f>
        <v>61.29091800169305</v>
      </c>
      <c r="H57" s="91">
        <f>F57*100/D57</f>
        <v>59.252819176460164</v>
      </c>
      <c r="I57" s="172">
        <f>'CD Ratio_2'!C57+'CD Ratio_2'!D57+'CD Ratio_2'!E57</f>
        <v>643539</v>
      </c>
      <c r="J57" s="172">
        <f>'CD Ratio_2'!F57+'CD Ratio_2'!G57+'CD Ratio_2'!H57</f>
        <v>381315</v>
      </c>
      <c r="K57" s="171">
        <f t="shared" si="1"/>
        <v>0</v>
      </c>
      <c r="L57" s="171">
        <f t="shared" si="2"/>
        <v>0</v>
      </c>
      <c r="Q57" s="172">
        <f t="shared" si="3"/>
        <v>15087</v>
      </c>
      <c r="R57" s="172">
        <f t="shared" si="4"/>
        <v>-3869</v>
      </c>
      <c r="U57" s="172">
        <f t="shared" si="5"/>
        <v>-3869</v>
      </c>
      <c r="V57" s="343">
        <f t="shared" si="6"/>
        <v>-38.69</v>
      </c>
    </row>
    <row r="58" spans="1:22" ht="15" customHeight="1">
      <c r="A58" s="87">
        <v>51</v>
      </c>
      <c r="B58" s="88" t="s">
        <v>269</v>
      </c>
      <c r="C58" s="92">
        <v>583210</v>
      </c>
      <c r="D58" s="112">
        <v>588960</v>
      </c>
      <c r="E58" s="92">
        <v>246798</v>
      </c>
      <c r="F58" s="112">
        <v>257676</v>
      </c>
      <c r="G58" s="91">
        <f t="shared" si="10"/>
        <v>42.31717563141921</v>
      </c>
      <c r="H58" s="91">
        <f t="shared" si="10"/>
        <v>43.751018744906276</v>
      </c>
      <c r="I58" s="172">
        <f>'CD Ratio_2'!C58+'CD Ratio_2'!D58+'CD Ratio_2'!E58</f>
        <v>588960</v>
      </c>
      <c r="J58" s="172">
        <f>'CD Ratio_2'!F58+'CD Ratio_2'!G58+'CD Ratio_2'!H58</f>
        <v>257676</v>
      </c>
      <c r="K58" s="171">
        <f t="shared" si="1"/>
        <v>0</v>
      </c>
      <c r="L58" s="171">
        <f t="shared" si="2"/>
        <v>0</v>
      </c>
      <c r="Q58" s="172">
        <f t="shared" si="3"/>
        <v>5750</v>
      </c>
      <c r="R58" s="172">
        <f t="shared" si="4"/>
        <v>10878</v>
      </c>
      <c r="U58" s="172">
        <f t="shared" si="5"/>
        <v>10878</v>
      </c>
      <c r="V58" s="343">
        <f t="shared" si="6"/>
        <v>108.78</v>
      </c>
    </row>
    <row r="59" spans="1:22" ht="15" customHeight="1">
      <c r="A59" s="87">
        <v>52</v>
      </c>
      <c r="B59" s="88" t="s">
        <v>54</v>
      </c>
      <c r="C59" s="92">
        <v>478343</v>
      </c>
      <c r="D59" s="100">
        <v>500752.1566645001</v>
      </c>
      <c r="E59" s="92">
        <v>420792</v>
      </c>
      <c r="F59" s="100">
        <v>431547.25042411</v>
      </c>
      <c r="G59" s="91">
        <f t="shared" si="10"/>
        <v>87.96867519750472</v>
      </c>
      <c r="H59" s="91">
        <f t="shared" si="10"/>
        <v>86.17980864997915</v>
      </c>
      <c r="I59" s="172">
        <f>'CD Ratio_2'!C59+'CD Ratio_2'!D59+'CD Ratio_2'!E59</f>
        <v>500752.1566645001</v>
      </c>
      <c r="J59" s="172">
        <f>'CD Ratio_2'!F59+'CD Ratio_2'!G59+'CD Ratio_2'!H59</f>
        <v>431547.25042411</v>
      </c>
      <c r="K59" s="171">
        <f t="shared" si="1"/>
        <v>0</v>
      </c>
      <c r="L59" s="171">
        <f t="shared" si="2"/>
        <v>0</v>
      </c>
      <c r="Q59" s="172">
        <f t="shared" si="3"/>
        <v>22409.15666450007</v>
      </c>
      <c r="R59" s="172">
        <f t="shared" si="4"/>
        <v>10755.250424109981</v>
      </c>
      <c r="U59" s="172">
        <f t="shared" si="5"/>
        <v>10755.250424109981</v>
      </c>
      <c r="V59" s="343">
        <f t="shared" si="6"/>
        <v>107.55250424109981</v>
      </c>
    </row>
    <row r="60" spans="1:22" ht="15" customHeight="1">
      <c r="A60" s="87"/>
      <c r="B60" s="103" t="s">
        <v>270</v>
      </c>
      <c r="C60" s="104">
        <f>SUM(C57:C59)</f>
        <v>1690005</v>
      </c>
      <c r="D60" s="104">
        <f>SUM(D57:D59)</f>
        <v>1733251.1566645</v>
      </c>
      <c r="E60" s="104">
        <f>SUM(E57:E59)</f>
        <v>1052774</v>
      </c>
      <c r="F60" s="104">
        <f>SUM(F57:F59)</f>
        <v>1070538.2504241099</v>
      </c>
      <c r="G60" s="105">
        <f t="shared" si="10"/>
        <v>62.294135224452</v>
      </c>
      <c r="H60" s="105">
        <f t="shared" si="10"/>
        <v>61.76475038298968</v>
      </c>
      <c r="I60" s="172">
        <f>'CD Ratio_2'!C60+'CD Ratio_2'!D60+'CD Ratio_2'!E60</f>
        <v>1733251.1566645</v>
      </c>
      <c r="J60" s="172">
        <f>'CD Ratio_2'!F60+'CD Ratio_2'!G60+'CD Ratio_2'!H60</f>
        <v>1070538.25042411</v>
      </c>
      <c r="K60" s="171">
        <f t="shared" si="1"/>
        <v>0</v>
      </c>
      <c r="L60" s="171">
        <f t="shared" si="2"/>
        <v>0</v>
      </c>
      <c r="Q60" s="172">
        <f t="shared" si="3"/>
        <v>43246.15666450001</v>
      </c>
      <c r="R60" s="172">
        <f t="shared" si="4"/>
        <v>17764.250424109865</v>
      </c>
      <c r="U60" s="172">
        <f t="shared" si="5"/>
        <v>17764.250424109865</v>
      </c>
      <c r="V60" s="343">
        <f t="shared" si="6"/>
        <v>177.64250424109866</v>
      </c>
    </row>
    <row r="61" spans="1:22" ht="15" customHeight="1">
      <c r="A61" s="87">
        <v>53</v>
      </c>
      <c r="B61" s="88" t="s">
        <v>277</v>
      </c>
      <c r="C61" s="98">
        <v>1843753</v>
      </c>
      <c r="D61" s="89">
        <f>'CD Ratio_2'!C61+'CD Ratio_2'!D61+'CD Ratio_2'!E61</f>
        <v>1844674</v>
      </c>
      <c r="E61" s="98">
        <v>1532311</v>
      </c>
      <c r="F61" s="89">
        <f>'CD Ratio_2'!F61+'CD Ratio_2'!G61+'CD Ratio_2'!H61</f>
        <v>1141298</v>
      </c>
      <c r="G61" s="91">
        <f t="shared" si="10"/>
        <v>83.10825799334293</v>
      </c>
      <c r="H61" s="91">
        <f t="shared" si="10"/>
        <v>61.86990221578447</v>
      </c>
      <c r="I61" s="172">
        <f>'CD Ratio_2'!C61+'CD Ratio_2'!D61+'CD Ratio_2'!E61</f>
        <v>1844674</v>
      </c>
      <c r="J61" s="172">
        <f>'CD Ratio_2'!F61+'CD Ratio_2'!G61+'CD Ratio_2'!H61</f>
        <v>1141298</v>
      </c>
      <c r="K61" s="171">
        <f t="shared" si="1"/>
        <v>0</v>
      </c>
      <c r="L61" s="171">
        <f t="shared" si="2"/>
        <v>0</v>
      </c>
      <c r="Q61" s="172">
        <f t="shared" si="3"/>
        <v>921</v>
      </c>
      <c r="R61" s="172">
        <f t="shared" si="4"/>
        <v>-391013</v>
      </c>
      <c r="U61" s="172">
        <f t="shared" si="5"/>
        <v>-391013</v>
      </c>
      <c r="V61" s="343">
        <f t="shared" si="6"/>
        <v>-3910.13</v>
      </c>
    </row>
    <row r="62" spans="1:22" s="196" customFormat="1" ht="15" customHeight="1">
      <c r="A62" s="87">
        <v>54</v>
      </c>
      <c r="B62" s="88" t="s">
        <v>344</v>
      </c>
      <c r="C62" s="98">
        <v>4735</v>
      </c>
      <c r="D62" s="89">
        <v>0</v>
      </c>
      <c r="E62" s="98">
        <v>103725</v>
      </c>
      <c r="F62" s="89">
        <v>0</v>
      </c>
      <c r="G62" s="91">
        <f>E62*100/C62</f>
        <v>2190.6019007391765</v>
      </c>
      <c r="H62" s="91">
        <v>0</v>
      </c>
      <c r="I62" s="172"/>
      <c r="J62" s="172"/>
      <c r="K62" s="171"/>
      <c r="L62" s="171"/>
      <c r="Q62" s="172"/>
      <c r="R62" s="172"/>
      <c r="U62" s="172">
        <f t="shared" si="5"/>
        <v>-103725</v>
      </c>
      <c r="V62" s="343">
        <f t="shared" si="6"/>
        <v>-1037.25</v>
      </c>
    </row>
    <row r="63" spans="1:22" ht="15" customHeight="1">
      <c r="A63" s="87"/>
      <c r="B63" s="103" t="s">
        <v>284</v>
      </c>
      <c r="C63" s="104">
        <f>SUM(C61:C62)</f>
        <v>1848488</v>
      </c>
      <c r="D63" s="104">
        <f>SUM(D61:D61)</f>
        <v>1844674</v>
      </c>
      <c r="E63" s="104">
        <f>SUM(E61:E61)</f>
        <v>1532311</v>
      </c>
      <c r="F63" s="104">
        <f>SUM(F61:F61)</f>
        <v>1141298</v>
      </c>
      <c r="G63" s="105">
        <f t="shared" si="10"/>
        <v>82.89537178493991</v>
      </c>
      <c r="H63" s="105">
        <f t="shared" si="10"/>
        <v>61.86990221578447</v>
      </c>
      <c r="I63" s="172">
        <f>'CD Ratio_2'!C62+'CD Ratio_2'!D62+'CD Ratio_2'!E62</f>
        <v>1844674</v>
      </c>
      <c r="J63" s="172">
        <f>'CD Ratio_2'!F62+'CD Ratio_2'!G62+'CD Ratio_2'!H62</f>
        <v>1141298</v>
      </c>
      <c r="K63" s="171">
        <f t="shared" si="1"/>
        <v>0</v>
      </c>
      <c r="L63" s="171">
        <f t="shared" si="2"/>
        <v>0</v>
      </c>
      <c r="Q63" s="172">
        <f t="shared" si="3"/>
        <v>-3814</v>
      </c>
      <c r="R63" s="172">
        <f t="shared" si="4"/>
        <v>-391013</v>
      </c>
      <c r="U63" s="172">
        <f t="shared" si="5"/>
        <v>-391013</v>
      </c>
      <c r="V63" s="343">
        <f t="shared" si="6"/>
        <v>-3910.13</v>
      </c>
    </row>
    <row r="64" spans="1:22" ht="15" customHeight="1">
      <c r="A64" s="87"/>
      <c r="B64" s="103" t="s">
        <v>285</v>
      </c>
      <c r="C64" s="104">
        <f>C63+C60+C56+C33</f>
        <v>30307029.8243899</v>
      </c>
      <c r="D64" s="104">
        <f>D63+D60+D56+D33</f>
        <v>28979731.3962645</v>
      </c>
      <c r="E64" s="104">
        <f>E63+E60+E56+E33</f>
        <v>20686224.9235359</v>
      </c>
      <c r="F64" s="104">
        <f>F63+F60+F56+F33</f>
        <v>20893425.888788268</v>
      </c>
      <c r="G64" s="105">
        <f t="shared" si="10"/>
        <v>68.25553359533913</v>
      </c>
      <c r="H64" s="105">
        <f t="shared" si="10"/>
        <v>72.09668579427013</v>
      </c>
      <c r="I64" s="172">
        <f>'CD Ratio_2'!C63+'CD Ratio_2'!D63+'CD Ratio_2'!E63</f>
        <v>28979731.137097973</v>
      </c>
      <c r="J64" s="172">
        <f>'CD Ratio_2'!F63+'CD Ratio_2'!G63+'CD Ratio_2'!H63</f>
        <v>20893425.57846852</v>
      </c>
      <c r="K64" s="171">
        <f t="shared" si="1"/>
        <v>-0.25916652753949165</v>
      </c>
      <c r="L64" s="171">
        <f t="shared" si="2"/>
        <v>-0.3103197477757931</v>
      </c>
      <c r="Q64" s="172">
        <f t="shared" si="3"/>
        <v>-1327298.4281254</v>
      </c>
      <c r="R64" s="172">
        <f t="shared" si="4"/>
        <v>207200.96525236964</v>
      </c>
      <c r="U64" s="172">
        <f t="shared" si="5"/>
        <v>207200.96525236964</v>
      </c>
      <c r="V64" s="343">
        <f t="shared" si="6"/>
        <v>2072.0096525236963</v>
      </c>
    </row>
    <row r="65" spans="1:16" ht="18.75">
      <c r="A65" s="217"/>
      <c r="B65" s="216"/>
      <c r="C65" s="213"/>
      <c r="D65" s="213"/>
      <c r="E65" s="214"/>
      <c r="F65" s="215"/>
      <c r="G65" s="216"/>
      <c r="H65" s="216"/>
      <c r="I65" s="216"/>
      <c r="J65" s="216"/>
      <c r="K65" s="218"/>
      <c r="L65" s="216"/>
      <c r="M65" s="216"/>
      <c r="N65" s="216"/>
      <c r="O65" s="216"/>
      <c r="P65" s="216"/>
    </row>
    <row r="66" spans="1:17" ht="18.75">
      <c r="A66" s="217"/>
      <c r="B66" s="216"/>
      <c r="C66" s="213"/>
      <c r="D66" s="213"/>
      <c r="E66" s="214"/>
      <c r="F66" s="215"/>
      <c r="G66" s="216"/>
      <c r="H66" s="216"/>
      <c r="I66" s="216"/>
      <c r="J66" s="216"/>
      <c r="K66" s="218"/>
      <c r="L66" s="216"/>
      <c r="M66" s="216"/>
      <c r="N66" s="216"/>
      <c r="O66" s="216"/>
      <c r="P66" s="216"/>
      <c r="Q66" s="196"/>
    </row>
    <row r="67" spans="1:17" ht="18.75">
      <c r="A67" s="217"/>
      <c r="B67" s="216"/>
      <c r="C67" s="213"/>
      <c r="D67" s="213"/>
      <c r="E67" s="213"/>
      <c r="F67" s="213">
        <v>3483</v>
      </c>
      <c r="G67" s="215"/>
      <c r="H67" s="216"/>
      <c r="I67" s="216"/>
      <c r="J67" s="216"/>
      <c r="K67" s="218"/>
      <c r="L67" s="216"/>
      <c r="M67" s="216"/>
      <c r="N67" s="216"/>
      <c r="O67" s="216"/>
      <c r="P67" s="216"/>
      <c r="Q67" s="196"/>
    </row>
    <row r="68" spans="1:17" ht="18.75">
      <c r="A68" s="217"/>
      <c r="B68" s="216"/>
      <c r="C68" s="213"/>
      <c r="D68" s="213"/>
      <c r="E68" s="214"/>
      <c r="F68" s="215">
        <f>F67+208934</f>
        <v>212417</v>
      </c>
      <c r="G68" s="216"/>
      <c r="H68" s="216"/>
      <c r="I68" s="216"/>
      <c r="J68" s="216"/>
      <c r="K68" s="218"/>
      <c r="L68" s="216"/>
      <c r="M68" s="216"/>
      <c r="N68" s="216"/>
      <c r="O68" s="216"/>
      <c r="P68" s="216"/>
      <c r="Q68" s="196"/>
    </row>
    <row r="70" ht="18.75">
      <c r="F70" s="67">
        <f>F68*100/289798</f>
        <v>73.2982974347649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A4:A5"/>
    <mergeCell ref="B4:B5"/>
    <mergeCell ref="C4:D4"/>
    <mergeCell ref="E4:F4"/>
    <mergeCell ref="G4:H4"/>
    <mergeCell ref="A1:H1"/>
    <mergeCell ref="G3:H3"/>
    <mergeCell ref="A2:H2"/>
  </mergeCells>
  <printOptions/>
  <pageMargins left="1" right="0.25" top="0.5" bottom="0.5" header="0.3" footer="0.3"/>
  <pageSetup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7.7109375" style="364" bestFit="1" customWidth="1"/>
    <col min="2" max="2" width="26.28125" style="364" customWidth="1"/>
    <col min="3" max="3" width="13.28125" style="364" customWidth="1"/>
    <col min="4" max="4" width="14.140625" style="364" hidden="1" customWidth="1"/>
    <col min="5" max="5" width="13.57421875" style="364" hidden="1" customWidth="1"/>
    <col min="6" max="6" width="13.57421875" style="364" customWidth="1"/>
    <col min="7" max="7" width="13.8515625" style="364" hidden="1" customWidth="1"/>
    <col min="8" max="8" width="15.140625" style="364" customWidth="1"/>
    <col min="9" max="9" width="13.8515625" style="364" customWidth="1"/>
    <col min="10" max="10" width="16.140625" style="371" customWidth="1"/>
    <col min="11" max="16384" width="9.140625" style="364" customWidth="1"/>
  </cols>
  <sheetData>
    <row r="1" spans="1:10" ht="20.25" customHeight="1">
      <c r="A1" s="689" t="s">
        <v>468</v>
      </c>
      <c r="B1" s="689"/>
      <c r="C1" s="689"/>
      <c r="D1" s="689"/>
      <c r="E1" s="689"/>
      <c r="F1" s="689"/>
      <c r="G1" s="689"/>
      <c r="H1" s="689"/>
      <c r="I1" s="689"/>
      <c r="J1" s="689"/>
    </row>
    <row r="2" spans="1:10" ht="39" customHeight="1">
      <c r="A2" s="690" t="s">
        <v>469</v>
      </c>
      <c r="B2" s="690"/>
      <c r="C2" s="690"/>
      <c r="D2" s="690"/>
      <c r="E2" s="690"/>
      <c r="F2" s="690"/>
      <c r="G2" s="690"/>
      <c r="H2" s="690"/>
      <c r="I2" s="690"/>
      <c r="J2" s="690"/>
    </row>
    <row r="3" spans="1:10" ht="32.25" customHeight="1">
      <c r="A3" s="684" t="s">
        <v>470</v>
      </c>
      <c r="B3" s="684" t="s">
        <v>336</v>
      </c>
      <c r="C3" s="684" t="s">
        <v>471</v>
      </c>
      <c r="D3" s="684" t="s">
        <v>472</v>
      </c>
      <c r="E3" s="684" t="s">
        <v>473</v>
      </c>
      <c r="F3" s="684" t="s">
        <v>474</v>
      </c>
      <c r="G3" s="684" t="s">
        <v>475</v>
      </c>
      <c r="H3" s="684" t="s">
        <v>476</v>
      </c>
      <c r="I3" s="684" t="s">
        <v>475</v>
      </c>
      <c r="J3" s="685" t="s">
        <v>490</v>
      </c>
    </row>
    <row r="4" spans="1:10" ht="49.5" customHeight="1">
      <c r="A4" s="684"/>
      <c r="B4" s="684"/>
      <c r="C4" s="684"/>
      <c r="D4" s="684"/>
      <c r="E4" s="684"/>
      <c r="F4" s="684"/>
      <c r="G4" s="684"/>
      <c r="H4" s="684"/>
      <c r="I4" s="684"/>
      <c r="J4" s="685"/>
    </row>
    <row r="5" spans="1:10" ht="15" customHeight="1">
      <c r="A5" s="686" t="s">
        <v>477</v>
      </c>
      <c r="B5" s="687"/>
      <c r="C5" s="687"/>
      <c r="D5" s="687"/>
      <c r="E5" s="687"/>
      <c r="F5" s="687"/>
      <c r="G5" s="687"/>
      <c r="H5" s="687"/>
      <c r="I5" s="687"/>
      <c r="J5" s="688"/>
    </row>
    <row r="6" spans="1:10" ht="15" customHeight="1">
      <c r="A6" s="363">
        <v>1</v>
      </c>
      <c r="B6" s="365" t="s">
        <v>72</v>
      </c>
      <c r="C6" s="366">
        <v>15398</v>
      </c>
      <c r="D6" s="363">
        <v>53167</v>
      </c>
      <c r="E6" s="363">
        <v>38464</v>
      </c>
      <c r="F6" s="363">
        <f>D6-E6</f>
        <v>14703</v>
      </c>
      <c r="G6" s="363">
        <v>36198</v>
      </c>
      <c r="H6" s="363">
        <v>6266</v>
      </c>
      <c r="I6" s="363">
        <v>5354</v>
      </c>
      <c r="J6" s="367">
        <f>I6*100/C6</f>
        <v>34.77074944798026</v>
      </c>
    </row>
    <row r="7" spans="1:10" ht="15" customHeight="1">
      <c r="A7" s="363">
        <v>2</v>
      </c>
      <c r="B7" s="365" t="s">
        <v>63</v>
      </c>
      <c r="C7" s="366">
        <v>8532</v>
      </c>
      <c r="D7" s="363">
        <v>38963</v>
      </c>
      <c r="E7" s="363">
        <v>24381</v>
      </c>
      <c r="F7" s="363">
        <f aca="true" t="shared" si="0" ref="F7:F27">D7-E7</f>
        <v>14582</v>
      </c>
      <c r="G7" s="363">
        <v>18953</v>
      </c>
      <c r="H7" s="363">
        <f aca="true" t="shared" si="1" ref="H7:H27">E7-G7</f>
        <v>5428</v>
      </c>
      <c r="I7" s="363">
        <v>1506</v>
      </c>
      <c r="J7" s="367">
        <f aca="true" t="shared" si="2" ref="J7:J28">I7*100/C7</f>
        <v>17.651195499296765</v>
      </c>
    </row>
    <row r="8" spans="1:10" ht="15" customHeight="1">
      <c r="A8" s="363">
        <v>3</v>
      </c>
      <c r="B8" s="365" t="s">
        <v>60</v>
      </c>
      <c r="C8" s="366">
        <v>5988</v>
      </c>
      <c r="D8" s="363">
        <v>28421</v>
      </c>
      <c r="E8" s="363">
        <v>17848</v>
      </c>
      <c r="F8" s="363">
        <f t="shared" si="0"/>
        <v>10573</v>
      </c>
      <c r="G8" s="363">
        <v>15590</v>
      </c>
      <c r="H8" s="363">
        <f t="shared" si="1"/>
        <v>2258</v>
      </c>
      <c r="I8" s="363">
        <v>753</v>
      </c>
      <c r="J8" s="367">
        <f t="shared" si="2"/>
        <v>12.575150300601202</v>
      </c>
    </row>
    <row r="9" spans="1:10" ht="15" customHeight="1">
      <c r="A9" s="363">
        <v>4</v>
      </c>
      <c r="B9" s="365" t="s">
        <v>68</v>
      </c>
      <c r="C9" s="366">
        <v>4083</v>
      </c>
      <c r="D9" s="363">
        <v>15203</v>
      </c>
      <c r="E9" s="363">
        <v>9175</v>
      </c>
      <c r="F9" s="363">
        <f t="shared" si="0"/>
        <v>6028</v>
      </c>
      <c r="G9" s="363">
        <v>7296</v>
      </c>
      <c r="H9" s="363">
        <f t="shared" si="1"/>
        <v>1879</v>
      </c>
      <c r="I9" s="363">
        <v>889</v>
      </c>
      <c r="J9" s="367">
        <f t="shared" si="2"/>
        <v>21.773205975998042</v>
      </c>
    </row>
    <row r="10" spans="1:10" ht="15" customHeight="1">
      <c r="A10" s="363">
        <v>5</v>
      </c>
      <c r="B10" s="365" t="s">
        <v>59</v>
      </c>
      <c r="C10" s="366">
        <v>2433</v>
      </c>
      <c r="D10" s="363">
        <v>8451</v>
      </c>
      <c r="E10" s="363">
        <v>6327</v>
      </c>
      <c r="F10" s="363">
        <f t="shared" si="0"/>
        <v>2124</v>
      </c>
      <c r="G10" s="363">
        <v>6065</v>
      </c>
      <c r="H10" s="363">
        <v>862</v>
      </c>
      <c r="I10" s="363">
        <v>656</v>
      </c>
      <c r="J10" s="367">
        <f t="shared" si="2"/>
        <v>26.962597616111797</v>
      </c>
    </row>
    <row r="11" spans="1:10" ht="15" customHeight="1">
      <c r="A11" s="363">
        <v>6</v>
      </c>
      <c r="B11" s="365" t="s">
        <v>67</v>
      </c>
      <c r="C11" s="366">
        <v>704</v>
      </c>
      <c r="D11" s="363">
        <v>2638</v>
      </c>
      <c r="E11" s="363">
        <v>1811</v>
      </c>
      <c r="F11" s="363">
        <f t="shared" si="0"/>
        <v>827</v>
      </c>
      <c r="G11" s="363">
        <v>1637</v>
      </c>
      <c r="H11" s="363">
        <v>274</v>
      </c>
      <c r="I11" s="363">
        <v>214</v>
      </c>
      <c r="J11" s="367">
        <f t="shared" si="2"/>
        <v>30.397727272727273</v>
      </c>
    </row>
    <row r="12" spans="1:10" ht="15" customHeight="1">
      <c r="A12" s="363">
        <v>7</v>
      </c>
      <c r="B12" s="365" t="s">
        <v>61</v>
      </c>
      <c r="C12" s="366">
        <v>2203</v>
      </c>
      <c r="D12" s="363">
        <v>9118</v>
      </c>
      <c r="E12" s="363">
        <v>5780</v>
      </c>
      <c r="F12" s="363">
        <f t="shared" si="0"/>
        <v>3338</v>
      </c>
      <c r="G12" s="363">
        <v>5354</v>
      </c>
      <c r="H12" s="363">
        <f t="shared" si="1"/>
        <v>426</v>
      </c>
      <c r="I12" s="363">
        <v>147</v>
      </c>
      <c r="J12" s="367">
        <f t="shared" si="2"/>
        <v>6.672719019518838</v>
      </c>
    </row>
    <row r="13" spans="1:10" ht="15" customHeight="1">
      <c r="A13" s="363">
        <v>8</v>
      </c>
      <c r="B13" s="365" t="s">
        <v>84</v>
      </c>
      <c r="C13" s="366">
        <v>554</v>
      </c>
      <c r="D13" s="363">
        <v>3196</v>
      </c>
      <c r="E13" s="363">
        <v>1177</v>
      </c>
      <c r="F13" s="363">
        <f t="shared" si="0"/>
        <v>2019</v>
      </c>
      <c r="G13" s="363">
        <v>1168</v>
      </c>
      <c r="H13" s="363">
        <v>109</v>
      </c>
      <c r="I13" s="363">
        <v>87</v>
      </c>
      <c r="J13" s="367">
        <f t="shared" si="2"/>
        <v>15.703971119133573</v>
      </c>
    </row>
    <row r="14" spans="1:10" ht="15" customHeight="1">
      <c r="A14" s="363">
        <v>9</v>
      </c>
      <c r="B14" s="365" t="s">
        <v>478</v>
      </c>
      <c r="C14" s="366">
        <v>3736</v>
      </c>
      <c r="D14" s="363">
        <v>12719</v>
      </c>
      <c r="E14" s="363">
        <v>10567</v>
      </c>
      <c r="F14" s="363">
        <f t="shared" si="0"/>
        <v>2152</v>
      </c>
      <c r="G14" s="363">
        <v>10427</v>
      </c>
      <c r="H14" s="363">
        <v>840</v>
      </c>
      <c r="I14" s="363">
        <v>594</v>
      </c>
      <c r="J14" s="367">
        <f t="shared" si="2"/>
        <v>15.899357601713062</v>
      </c>
    </row>
    <row r="15" spans="1:10" ht="15" customHeight="1">
      <c r="A15" s="363">
        <v>10</v>
      </c>
      <c r="B15" s="365" t="s">
        <v>57</v>
      </c>
      <c r="C15" s="366">
        <v>2745</v>
      </c>
      <c r="D15" s="363">
        <v>9264</v>
      </c>
      <c r="E15" s="363">
        <v>6873</v>
      </c>
      <c r="F15" s="363">
        <f t="shared" si="0"/>
        <v>2391</v>
      </c>
      <c r="G15" s="363">
        <v>6251</v>
      </c>
      <c r="H15" s="363">
        <v>1622</v>
      </c>
      <c r="I15" s="363">
        <v>1496</v>
      </c>
      <c r="J15" s="367">
        <f t="shared" si="2"/>
        <v>54.49908925318761</v>
      </c>
    </row>
    <row r="16" spans="1:10" ht="15" customHeight="1">
      <c r="A16" s="363">
        <v>11</v>
      </c>
      <c r="B16" s="365" t="s">
        <v>65</v>
      </c>
      <c r="C16" s="366">
        <v>456</v>
      </c>
      <c r="D16" s="363">
        <v>1286</v>
      </c>
      <c r="E16" s="363">
        <v>1245</v>
      </c>
      <c r="F16" s="363">
        <v>241</v>
      </c>
      <c r="G16" s="366">
        <v>1239</v>
      </c>
      <c r="H16" s="363">
        <v>128</v>
      </c>
      <c r="I16" s="363">
        <v>104</v>
      </c>
      <c r="J16" s="367">
        <f t="shared" si="2"/>
        <v>22.80701754385965</v>
      </c>
    </row>
    <row r="17" spans="1:10" ht="15" customHeight="1">
      <c r="A17" s="686" t="s">
        <v>479</v>
      </c>
      <c r="B17" s="687"/>
      <c r="C17" s="687"/>
      <c r="D17" s="687"/>
      <c r="E17" s="687"/>
      <c r="F17" s="687"/>
      <c r="G17" s="687"/>
      <c r="H17" s="687"/>
      <c r="I17" s="687"/>
      <c r="J17" s="688"/>
    </row>
    <row r="18" spans="1:10" ht="15" customHeight="1">
      <c r="A18" s="363">
        <v>12</v>
      </c>
      <c r="B18" s="365" t="s">
        <v>480</v>
      </c>
      <c r="C18" s="366">
        <v>7498</v>
      </c>
      <c r="D18" s="363">
        <v>31887</v>
      </c>
      <c r="E18" s="363">
        <v>20410</v>
      </c>
      <c r="F18" s="363">
        <f t="shared" si="0"/>
        <v>11477</v>
      </c>
      <c r="G18" s="363">
        <v>19385</v>
      </c>
      <c r="H18" s="363">
        <v>1525</v>
      </c>
      <c r="I18" s="363">
        <v>1255</v>
      </c>
      <c r="J18" s="367">
        <f t="shared" si="2"/>
        <v>16.737796745798878</v>
      </c>
    </row>
    <row r="19" spans="1:10" ht="15" customHeight="1">
      <c r="A19" s="363">
        <v>13</v>
      </c>
      <c r="B19" s="365" t="s">
        <v>481</v>
      </c>
      <c r="C19" s="366">
        <v>9159</v>
      </c>
      <c r="D19" s="363">
        <v>36924</v>
      </c>
      <c r="E19" s="363">
        <v>22607</v>
      </c>
      <c r="F19" s="363">
        <f t="shared" si="0"/>
        <v>14317</v>
      </c>
      <c r="G19" s="363">
        <v>20123</v>
      </c>
      <c r="H19" s="363">
        <f t="shared" si="1"/>
        <v>2484</v>
      </c>
      <c r="I19" s="363">
        <v>1319</v>
      </c>
      <c r="J19" s="367">
        <f t="shared" si="2"/>
        <v>14.401135495141391</v>
      </c>
    </row>
    <row r="20" spans="1:10" ht="15" customHeight="1">
      <c r="A20" s="363">
        <v>14</v>
      </c>
      <c r="B20" s="365" t="s">
        <v>482</v>
      </c>
      <c r="C20" s="366">
        <v>9072</v>
      </c>
      <c r="D20" s="363">
        <v>29652</v>
      </c>
      <c r="E20" s="363">
        <v>20699</v>
      </c>
      <c r="F20" s="363">
        <f t="shared" si="0"/>
        <v>8953</v>
      </c>
      <c r="G20" s="363">
        <v>18066</v>
      </c>
      <c r="H20" s="363">
        <f t="shared" si="1"/>
        <v>2633</v>
      </c>
      <c r="I20" s="363">
        <v>1537</v>
      </c>
      <c r="J20" s="367">
        <f t="shared" si="2"/>
        <v>16.942239858906525</v>
      </c>
    </row>
    <row r="21" spans="1:10" ht="15" customHeight="1">
      <c r="A21" s="686" t="s">
        <v>483</v>
      </c>
      <c r="B21" s="687"/>
      <c r="C21" s="687"/>
      <c r="D21" s="687"/>
      <c r="E21" s="687"/>
      <c r="F21" s="687"/>
      <c r="G21" s="687"/>
      <c r="H21" s="687"/>
      <c r="I21" s="687"/>
      <c r="J21" s="688"/>
    </row>
    <row r="22" spans="1:10" ht="15" customHeight="1">
      <c r="A22" s="363">
        <v>15</v>
      </c>
      <c r="B22" s="368" t="s">
        <v>484</v>
      </c>
      <c r="C22" s="366">
        <v>400</v>
      </c>
      <c r="D22" s="363">
        <v>1502</v>
      </c>
      <c r="E22" s="363">
        <v>1302</v>
      </c>
      <c r="F22" s="363">
        <f t="shared" si="0"/>
        <v>200</v>
      </c>
      <c r="G22" s="363">
        <v>1209</v>
      </c>
      <c r="H22" s="363">
        <f t="shared" si="1"/>
        <v>93</v>
      </c>
      <c r="I22" s="363">
        <v>30</v>
      </c>
      <c r="J22" s="367">
        <f t="shared" si="2"/>
        <v>7.5</v>
      </c>
    </row>
    <row r="23" spans="1:10" ht="15" customHeight="1">
      <c r="A23" s="363">
        <v>16</v>
      </c>
      <c r="B23" s="368" t="s">
        <v>485</v>
      </c>
      <c r="C23" s="366">
        <v>455</v>
      </c>
      <c r="D23" s="363">
        <v>1595</v>
      </c>
      <c r="E23" s="363">
        <v>1321</v>
      </c>
      <c r="F23" s="363">
        <f t="shared" si="0"/>
        <v>274</v>
      </c>
      <c r="G23" s="363">
        <v>1251</v>
      </c>
      <c r="H23" s="363">
        <f t="shared" si="1"/>
        <v>70</v>
      </c>
      <c r="I23" s="363">
        <v>0</v>
      </c>
      <c r="J23" s="367">
        <f t="shared" si="2"/>
        <v>0</v>
      </c>
    </row>
    <row r="24" spans="1:10" ht="15" customHeight="1">
      <c r="A24" s="363">
        <v>17</v>
      </c>
      <c r="B24" s="368" t="s">
        <v>486</v>
      </c>
      <c r="C24" s="366">
        <v>700</v>
      </c>
      <c r="D24" s="363">
        <v>2106</v>
      </c>
      <c r="E24" s="363">
        <v>1884</v>
      </c>
      <c r="F24" s="363">
        <f t="shared" si="0"/>
        <v>222</v>
      </c>
      <c r="G24" s="363">
        <v>1821</v>
      </c>
      <c r="H24" s="363">
        <v>163</v>
      </c>
      <c r="I24" s="363">
        <v>100</v>
      </c>
      <c r="J24" s="367">
        <f t="shared" si="2"/>
        <v>14.285714285714286</v>
      </c>
    </row>
    <row r="25" spans="1:10" ht="15" customHeight="1">
      <c r="A25" s="363">
        <v>18</v>
      </c>
      <c r="B25" s="368" t="s">
        <v>487</v>
      </c>
      <c r="C25" s="366">
        <v>200</v>
      </c>
      <c r="D25" s="363">
        <v>1020</v>
      </c>
      <c r="E25" s="363">
        <v>819</v>
      </c>
      <c r="F25" s="363">
        <f t="shared" si="0"/>
        <v>201</v>
      </c>
      <c r="G25" s="363">
        <v>790</v>
      </c>
      <c r="H25" s="363">
        <f t="shared" si="1"/>
        <v>29</v>
      </c>
      <c r="I25" s="363">
        <v>12</v>
      </c>
      <c r="J25" s="367">
        <f t="shared" si="2"/>
        <v>6</v>
      </c>
    </row>
    <row r="26" spans="1:10" ht="15" customHeight="1">
      <c r="A26" s="363">
        <v>19</v>
      </c>
      <c r="B26" s="368" t="s">
        <v>488</v>
      </c>
      <c r="C26" s="366">
        <v>409</v>
      </c>
      <c r="D26" s="363">
        <v>1726</v>
      </c>
      <c r="E26" s="363">
        <v>1070</v>
      </c>
      <c r="F26" s="363">
        <f t="shared" si="0"/>
        <v>656</v>
      </c>
      <c r="G26" s="363">
        <v>772</v>
      </c>
      <c r="H26" s="363">
        <f t="shared" si="1"/>
        <v>298</v>
      </c>
      <c r="I26" s="363">
        <v>32</v>
      </c>
      <c r="J26" s="367">
        <f t="shared" si="2"/>
        <v>7.823960880195599</v>
      </c>
    </row>
    <row r="27" spans="1:10" ht="15" customHeight="1">
      <c r="A27" s="363">
        <v>20</v>
      </c>
      <c r="B27" s="368" t="s">
        <v>489</v>
      </c>
      <c r="C27" s="366">
        <v>275</v>
      </c>
      <c r="D27" s="363">
        <v>937</v>
      </c>
      <c r="E27" s="363">
        <v>839</v>
      </c>
      <c r="F27" s="363">
        <f t="shared" si="0"/>
        <v>98</v>
      </c>
      <c r="G27" s="363">
        <v>625</v>
      </c>
      <c r="H27" s="363">
        <f t="shared" si="1"/>
        <v>214</v>
      </c>
      <c r="I27" s="363">
        <v>0</v>
      </c>
      <c r="J27" s="367">
        <f t="shared" si="2"/>
        <v>0</v>
      </c>
    </row>
    <row r="28" spans="1:10" ht="15" customHeight="1">
      <c r="A28" s="365"/>
      <c r="B28" s="369" t="s">
        <v>1</v>
      </c>
      <c r="C28" s="369">
        <f aca="true" t="shared" si="3" ref="C28:I28">SUM(C6:C16)+SUM(C18:C20)+SUM(C22:C27)</f>
        <v>75000</v>
      </c>
      <c r="D28" s="369">
        <f t="shared" si="3"/>
        <v>289775</v>
      </c>
      <c r="E28" s="369">
        <f t="shared" si="3"/>
        <v>194599</v>
      </c>
      <c r="F28" s="369">
        <f t="shared" si="3"/>
        <v>95376</v>
      </c>
      <c r="G28" s="369">
        <f t="shared" si="3"/>
        <v>174220</v>
      </c>
      <c r="H28" s="369">
        <f t="shared" si="3"/>
        <v>27601</v>
      </c>
      <c r="I28" s="369">
        <f t="shared" si="3"/>
        <v>16085</v>
      </c>
      <c r="J28" s="370">
        <f t="shared" si="2"/>
        <v>21.446666666666665</v>
      </c>
    </row>
    <row r="29" ht="15.75">
      <c r="E29" s="364">
        <f>E28-G28</f>
        <v>20379</v>
      </c>
    </row>
  </sheetData>
  <sheetProtection/>
  <mergeCells count="15">
    <mergeCell ref="D3:D4"/>
    <mergeCell ref="E3:E4"/>
    <mergeCell ref="F3:F4"/>
    <mergeCell ref="G3:G4"/>
    <mergeCell ref="H3:H4"/>
    <mergeCell ref="I3:I4"/>
    <mergeCell ref="J3:J4"/>
    <mergeCell ref="A5:J5"/>
    <mergeCell ref="A17:J17"/>
    <mergeCell ref="A21:J21"/>
    <mergeCell ref="A1:J1"/>
    <mergeCell ref="A2:J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4" sqref="L14"/>
    </sheetView>
  </sheetViews>
  <sheetFormatPr defaultColWidth="9.140625" defaultRowHeight="12.75"/>
  <cols>
    <col min="1" max="1" width="9.140625" style="408" customWidth="1"/>
    <col min="2" max="2" width="22.28125" style="372" customWidth="1"/>
    <col min="3" max="16384" width="9.140625" style="372" customWidth="1"/>
  </cols>
  <sheetData>
    <row r="1" spans="1:24" ht="13.5" thickBot="1">
      <c r="A1" s="691" t="s">
        <v>491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3"/>
    </row>
    <row r="2" spans="1:24" ht="12.75">
      <c r="A2" s="373" t="s">
        <v>492</v>
      </c>
      <c r="B2" s="374" t="s">
        <v>493</v>
      </c>
      <c r="C2" s="694" t="s">
        <v>494</v>
      </c>
      <c r="D2" s="694"/>
      <c r="E2" s="695" t="s">
        <v>495</v>
      </c>
      <c r="F2" s="695"/>
      <c r="G2" s="695" t="s">
        <v>496</v>
      </c>
      <c r="H2" s="695"/>
      <c r="I2" s="695" t="s">
        <v>497</v>
      </c>
      <c r="J2" s="695"/>
      <c r="K2" s="695" t="s">
        <v>498</v>
      </c>
      <c r="L2" s="695"/>
      <c r="M2" s="695" t="s">
        <v>499</v>
      </c>
      <c r="N2" s="695"/>
      <c r="O2" s="695" t="s">
        <v>500</v>
      </c>
      <c r="P2" s="695"/>
      <c r="Q2" s="696" t="s">
        <v>501</v>
      </c>
      <c r="R2" s="696"/>
      <c r="S2" s="696"/>
      <c r="T2" s="696"/>
      <c r="U2" s="695" t="s">
        <v>502</v>
      </c>
      <c r="V2" s="695"/>
      <c r="W2" s="695"/>
      <c r="X2" s="697"/>
    </row>
    <row r="3" spans="1:24" ht="36">
      <c r="A3" s="375"/>
      <c r="B3" s="376"/>
      <c r="C3" s="376"/>
      <c r="D3" s="376"/>
      <c r="E3" s="377"/>
      <c r="F3" s="377"/>
      <c r="G3" s="377"/>
      <c r="H3" s="377"/>
      <c r="I3" s="377"/>
      <c r="J3" s="377"/>
      <c r="K3" s="378" t="s">
        <v>503</v>
      </c>
      <c r="L3" s="378" t="s">
        <v>504</v>
      </c>
      <c r="M3" s="378"/>
      <c r="N3" s="378"/>
      <c r="O3" s="379" t="s">
        <v>505</v>
      </c>
      <c r="P3" s="379" t="s">
        <v>506</v>
      </c>
      <c r="Q3" s="380" t="s">
        <v>507</v>
      </c>
      <c r="R3" s="380" t="s">
        <v>508</v>
      </c>
      <c r="S3" s="381" t="s">
        <v>509</v>
      </c>
      <c r="T3" s="381" t="s">
        <v>510</v>
      </c>
      <c r="U3" s="377" t="s">
        <v>511</v>
      </c>
      <c r="V3" s="377" t="s">
        <v>512</v>
      </c>
      <c r="W3" s="381" t="s">
        <v>513</v>
      </c>
      <c r="X3" s="382" t="s">
        <v>514</v>
      </c>
    </row>
    <row r="4" spans="1:24" ht="12.75">
      <c r="A4" s="375"/>
      <c r="B4" s="376"/>
      <c r="C4" s="376"/>
      <c r="D4" s="376"/>
      <c r="E4" s="377" t="s">
        <v>515</v>
      </c>
      <c r="F4" s="377" t="s">
        <v>23</v>
      </c>
      <c r="G4" s="377" t="s">
        <v>515</v>
      </c>
      <c r="H4" s="377" t="s">
        <v>23</v>
      </c>
      <c r="I4" s="377" t="s">
        <v>515</v>
      </c>
      <c r="J4" s="377" t="s">
        <v>23</v>
      </c>
      <c r="K4" s="377" t="s">
        <v>515</v>
      </c>
      <c r="L4" s="377" t="s">
        <v>23</v>
      </c>
      <c r="M4" s="377" t="s">
        <v>515</v>
      </c>
      <c r="N4" s="377" t="s">
        <v>23</v>
      </c>
      <c r="O4" s="377" t="s">
        <v>515</v>
      </c>
      <c r="P4" s="377" t="s">
        <v>23</v>
      </c>
      <c r="Q4" s="377" t="s">
        <v>515</v>
      </c>
      <c r="R4" s="377" t="s">
        <v>23</v>
      </c>
      <c r="S4" s="377" t="s">
        <v>515</v>
      </c>
      <c r="T4" s="377" t="s">
        <v>23</v>
      </c>
      <c r="U4" s="377" t="s">
        <v>515</v>
      </c>
      <c r="V4" s="377" t="s">
        <v>23</v>
      </c>
      <c r="W4" s="377" t="s">
        <v>515</v>
      </c>
      <c r="X4" s="383" t="s">
        <v>23</v>
      </c>
    </row>
    <row r="5" spans="1:24" ht="13.5" thickBot="1">
      <c r="A5" s="384">
        <v>1</v>
      </c>
      <c r="B5" s="385">
        <v>2</v>
      </c>
      <c r="C5" s="384">
        <v>3</v>
      </c>
      <c r="D5" s="385">
        <v>4</v>
      </c>
      <c r="E5" s="384">
        <v>5</v>
      </c>
      <c r="F5" s="385">
        <v>6</v>
      </c>
      <c r="G5" s="384">
        <v>7</v>
      </c>
      <c r="H5" s="385">
        <v>8</v>
      </c>
      <c r="I5" s="384">
        <v>9</v>
      </c>
      <c r="J5" s="385">
        <v>10</v>
      </c>
      <c r="K5" s="384">
        <v>11</v>
      </c>
      <c r="L5" s="385">
        <v>12</v>
      </c>
      <c r="M5" s="384">
        <v>13</v>
      </c>
      <c r="N5" s="385">
        <v>14</v>
      </c>
      <c r="O5" s="384">
        <v>15</v>
      </c>
      <c r="P5" s="385">
        <v>16</v>
      </c>
      <c r="Q5" s="384">
        <v>17</v>
      </c>
      <c r="R5" s="385">
        <v>18</v>
      </c>
      <c r="S5" s="384">
        <v>19</v>
      </c>
      <c r="T5" s="385">
        <v>20</v>
      </c>
      <c r="U5" s="384">
        <v>21</v>
      </c>
      <c r="V5" s="385">
        <v>22</v>
      </c>
      <c r="W5" s="384">
        <v>23</v>
      </c>
      <c r="X5" s="385">
        <v>24</v>
      </c>
    </row>
    <row r="6" spans="1:24" ht="12.75">
      <c r="A6" s="386">
        <v>1</v>
      </c>
      <c r="B6" s="387" t="s">
        <v>516</v>
      </c>
      <c r="C6" s="388">
        <v>425</v>
      </c>
      <c r="D6" s="389">
        <v>741</v>
      </c>
      <c r="E6" s="390">
        <v>244</v>
      </c>
      <c r="F6" s="390">
        <v>343.53999999999996</v>
      </c>
      <c r="G6" s="390">
        <v>20</v>
      </c>
      <c r="H6" s="390">
        <v>20.410000000000004</v>
      </c>
      <c r="I6" s="388">
        <v>67</v>
      </c>
      <c r="J6" s="389">
        <v>128.1</v>
      </c>
      <c r="K6" s="388">
        <v>87</v>
      </c>
      <c r="L6" s="389">
        <v>148.51</v>
      </c>
      <c r="M6" s="390">
        <v>0</v>
      </c>
      <c r="N6" s="389">
        <v>0</v>
      </c>
      <c r="O6" s="388">
        <v>177</v>
      </c>
      <c r="P6" s="389">
        <v>215.44</v>
      </c>
      <c r="Q6" s="390">
        <v>2</v>
      </c>
      <c r="R6" s="389">
        <v>2</v>
      </c>
      <c r="S6" s="390">
        <v>53</v>
      </c>
      <c r="T6" s="389">
        <v>44.1</v>
      </c>
      <c r="U6" s="390">
        <v>18</v>
      </c>
      <c r="V6" s="390">
        <v>18.410000000000004</v>
      </c>
      <c r="W6" s="390">
        <v>14</v>
      </c>
      <c r="X6" s="391">
        <v>84</v>
      </c>
    </row>
    <row r="7" spans="1:24" ht="13.5" thickBot="1">
      <c r="A7" s="392">
        <v>2</v>
      </c>
      <c r="B7" s="393" t="s">
        <v>517</v>
      </c>
      <c r="C7" s="394">
        <v>0</v>
      </c>
      <c r="D7" s="395">
        <v>0</v>
      </c>
      <c r="E7" s="396">
        <v>7</v>
      </c>
      <c r="F7" s="395">
        <v>35</v>
      </c>
      <c r="G7" s="396">
        <v>0</v>
      </c>
      <c r="H7" s="395">
        <v>0</v>
      </c>
      <c r="I7" s="394">
        <v>0</v>
      </c>
      <c r="J7" s="395">
        <v>0</v>
      </c>
      <c r="K7" s="394">
        <v>0</v>
      </c>
      <c r="L7" s="395">
        <v>0</v>
      </c>
      <c r="M7" s="396">
        <v>0</v>
      </c>
      <c r="N7" s="395">
        <v>0</v>
      </c>
      <c r="O7" s="394">
        <v>7</v>
      </c>
      <c r="P7" s="395">
        <v>35</v>
      </c>
      <c r="Q7" s="396">
        <v>0</v>
      </c>
      <c r="R7" s="395">
        <v>0</v>
      </c>
      <c r="S7" s="396">
        <v>0</v>
      </c>
      <c r="T7" s="395">
        <v>0</v>
      </c>
      <c r="U7" s="396">
        <v>0</v>
      </c>
      <c r="V7" s="395">
        <v>0</v>
      </c>
      <c r="W7" s="396">
        <v>0</v>
      </c>
      <c r="X7" s="397">
        <v>0</v>
      </c>
    </row>
    <row r="8" spans="1:24" ht="12.75">
      <c r="A8" s="386">
        <v>3</v>
      </c>
      <c r="B8" s="393" t="s">
        <v>518</v>
      </c>
      <c r="C8" s="394">
        <v>16</v>
      </c>
      <c r="D8" s="395">
        <v>15</v>
      </c>
      <c r="E8" s="396">
        <v>0</v>
      </c>
      <c r="F8" s="395">
        <v>0</v>
      </c>
      <c r="G8" s="396">
        <v>0</v>
      </c>
      <c r="H8" s="395">
        <v>0</v>
      </c>
      <c r="I8" s="394">
        <v>0</v>
      </c>
      <c r="J8" s="395">
        <v>0</v>
      </c>
      <c r="K8" s="394">
        <v>0</v>
      </c>
      <c r="L8" s="395">
        <v>0</v>
      </c>
      <c r="M8" s="396">
        <v>0</v>
      </c>
      <c r="N8" s="395">
        <v>0</v>
      </c>
      <c r="O8" s="394">
        <v>0</v>
      </c>
      <c r="P8" s="395">
        <v>0</v>
      </c>
      <c r="Q8" s="396">
        <v>0</v>
      </c>
      <c r="R8" s="395">
        <v>0</v>
      </c>
      <c r="S8" s="396">
        <v>0</v>
      </c>
      <c r="T8" s="395">
        <v>0</v>
      </c>
      <c r="U8" s="396">
        <v>0</v>
      </c>
      <c r="V8" s="395">
        <v>0</v>
      </c>
      <c r="W8" s="396">
        <v>0</v>
      </c>
      <c r="X8" s="397">
        <v>0</v>
      </c>
    </row>
    <row r="9" spans="1:24" ht="13.5" thickBot="1">
      <c r="A9" s="392">
        <v>4</v>
      </c>
      <c r="B9" s="393" t="s">
        <v>519</v>
      </c>
      <c r="C9" s="394">
        <v>418</v>
      </c>
      <c r="D9" s="395">
        <v>406.5</v>
      </c>
      <c r="E9" s="396">
        <v>175</v>
      </c>
      <c r="F9" s="395">
        <v>404.6</v>
      </c>
      <c r="G9" s="396">
        <v>23</v>
      </c>
      <c r="H9" s="395">
        <v>35</v>
      </c>
      <c r="I9" s="394">
        <v>50</v>
      </c>
      <c r="J9" s="395">
        <v>57.43</v>
      </c>
      <c r="K9" s="394">
        <v>73</v>
      </c>
      <c r="L9" s="395">
        <v>92.42999999999999</v>
      </c>
      <c r="M9" s="396">
        <v>0</v>
      </c>
      <c r="N9" s="395">
        <v>0</v>
      </c>
      <c r="O9" s="394">
        <v>125</v>
      </c>
      <c r="P9" s="395">
        <v>347.17</v>
      </c>
      <c r="Q9" s="396">
        <v>4</v>
      </c>
      <c r="R9" s="395">
        <v>4.5</v>
      </c>
      <c r="S9" s="396">
        <v>50</v>
      </c>
      <c r="T9" s="395">
        <v>57.43</v>
      </c>
      <c r="U9" s="396">
        <v>19</v>
      </c>
      <c r="V9" s="395">
        <v>30.5</v>
      </c>
      <c r="W9" s="396">
        <v>0</v>
      </c>
      <c r="X9" s="397">
        <v>0</v>
      </c>
    </row>
    <row r="10" spans="1:24" ht="12.75">
      <c r="A10" s="386">
        <v>5</v>
      </c>
      <c r="B10" s="393" t="s">
        <v>520</v>
      </c>
      <c r="C10" s="394">
        <v>1304</v>
      </c>
      <c r="D10" s="395">
        <v>1363.365</v>
      </c>
      <c r="E10" s="396">
        <v>442</v>
      </c>
      <c r="F10" s="395">
        <v>616.2299999999999</v>
      </c>
      <c r="G10" s="396">
        <v>242</v>
      </c>
      <c r="H10" s="395">
        <v>226.01999999999998</v>
      </c>
      <c r="I10" s="394">
        <v>203</v>
      </c>
      <c r="J10" s="395">
        <v>247.5</v>
      </c>
      <c r="K10" s="394">
        <v>445</v>
      </c>
      <c r="L10" s="395">
        <v>473.52000000000004</v>
      </c>
      <c r="M10" s="396">
        <v>15</v>
      </c>
      <c r="N10" s="395">
        <v>7.5</v>
      </c>
      <c r="O10" s="394">
        <v>224</v>
      </c>
      <c r="P10" s="395">
        <v>361.23</v>
      </c>
      <c r="Q10" s="396">
        <v>45</v>
      </c>
      <c r="R10" s="395">
        <v>31.43</v>
      </c>
      <c r="S10" s="396">
        <v>111</v>
      </c>
      <c r="T10" s="395">
        <v>116.03</v>
      </c>
      <c r="U10" s="396">
        <v>197</v>
      </c>
      <c r="V10" s="395">
        <v>194.59</v>
      </c>
      <c r="W10" s="396">
        <v>92</v>
      </c>
      <c r="X10" s="397">
        <v>131.46999999999997</v>
      </c>
    </row>
    <row r="11" spans="1:24" ht="13.5" thickBot="1">
      <c r="A11" s="392">
        <v>6</v>
      </c>
      <c r="B11" s="393" t="s">
        <v>521</v>
      </c>
      <c r="C11" s="394">
        <v>220</v>
      </c>
      <c r="D11" s="395">
        <v>254</v>
      </c>
      <c r="E11" s="396">
        <v>92</v>
      </c>
      <c r="F11" s="395">
        <v>86.46000000000001</v>
      </c>
      <c r="G11" s="396">
        <v>49</v>
      </c>
      <c r="H11" s="395">
        <v>61.870000000000005</v>
      </c>
      <c r="I11" s="394">
        <v>61</v>
      </c>
      <c r="J11" s="395">
        <v>45.7</v>
      </c>
      <c r="K11" s="394">
        <v>110</v>
      </c>
      <c r="L11" s="395">
        <v>107.57000000000001</v>
      </c>
      <c r="M11" s="396">
        <v>0</v>
      </c>
      <c r="N11" s="395">
        <v>0</v>
      </c>
      <c r="O11" s="394">
        <v>31</v>
      </c>
      <c r="P11" s="395">
        <v>40.760000000000005</v>
      </c>
      <c r="Q11" s="396">
        <v>15</v>
      </c>
      <c r="R11" s="395">
        <v>17</v>
      </c>
      <c r="S11" s="396">
        <v>58</v>
      </c>
      <c r="T11" s="395">
        <v>42.7</v>
      </c>
      <c r="U11" s="396">
        <v>34</v>
      </c>
      <c r="V11" s="395">
        <v>44.870000000000005</v>
      </c>
      <c r="W11" s="396">
        <v>3</v>
      </c>
      <c r="X11" s="397">
        <v>3</v>
      </c>
    </row>
    <row r="12" spans="1:24" ht="12.75">
      <c r="A12" s="386">
        <v>7</v>
      </c>
      <c r="B12" s="393" t="s">
        <v>522</v>
      </c>
      <c r="C12" s="394">
        <v>130</v>
      </c>
      <c r="D12" s="395">
        <v>135.825</v>
      </c>
      <c r="E12" s="396">
        <v>57</v>
      </c>
      <c r="F12" s="395">
        <v>62</v>
      </c>
      <c r="G12" s="396">
        <v>0</v>
      </c>
      <c r="H12" s="395">
        <v>0</v>
      </c>
      <c r="I12" s="394">
        <v>12.2</v>
      </c>
      <c r="J12" s="395">
        <v>10.85</v>
      </c>
      <c r="K12" s="394">
        <v>12.2</v>
      </c>
      <c r="L12" s="395">
        <v>10.85</v>
      </c>
      <c r="M12" s="396">
        <v>0</v>
      </c>
      <c r="N12" s="395">
        <v>0</v>
      </c>
      <c r="O12" s="394">
        <v>44.8</v>
      </c>
      <c r="P12" s="395">
        <v>51.15</v>
      </c>
      <c r="Q12" s="396">
        <v>0</v>
      </c>
      <c r="R12" s="395">
        <v>0</v>
      </c>
      <c r="S12" s="396">
        <v>11</v>
      </c>
      <c r="T12" s="395">
        <v>10.25</v>
      </c>
      <c r="U12" s="396">
        <v>0</v>
      </c>
      <c r="V12" s="395">
        <v>0</v>
      </c>
      <c r="W12" s="396">
        <v>1.2</v>
      </c>
      <c r="X12" s="397">
        <v>0.6</v>
      </c>
    </row>
    <row r="13" spans="1:24" ht="13.5" thickBot="1">
      <c r="A13" s="392">
        <v>8</v>
      </c>
      <c r="B13" s="393" t="s">
        <v>523</v>
      </c>
      <c r="C13" s="394">
        <v>2000.9</v>
      </c>
      <c r="D13" s="395">
        <v>2291.9525</v>
      </c>
      <c r="E13" s="396">
        <v>1175</v>
      </c>
      <c r="F13" s="395">
        <v>1632.6618899999999</v>
      </c>
      <c r="G13" s="396">
        <v>132</v>
      </c>
      <c r="H13" s="395">
        <v>171.4</v>
      </c>
      <c r="I13" s="394">
        <v>427</v>
      </c>
      <c r="J13" s="395">
        <v>477.75480000000005</v>
      </c>
      <c r="K13" s="394">
        <v>559</v>
      </c>
      <c r="L13" s="395">
        <v>649.1548</v>
      </c>
      <c r="M13" s="396">
        <v>3</v>
      </c>
      <c r="N13" s="395">
        <v>3</v>
      </c>
      <c r="O13" s="394">
        <v>745</v>
      </c>
      <c r="P13" s="395">
        <v>1151.90709</v>
      </c>
      <c r="Q13" s="396">
        <v>26</v>
      </c>
      <c r="R13" s="395">
        <v>28.7</v>
      </c>
      <c r="S13" s="396">
        <v>247</v>
      </c>
      <c r="T13" s="395">
        <v>261.9</v>
      </c>
      <c r="U13" s="396">
        <v>106</v>
      </c>
      <c r="V13" s="395">
        <v>142.7</v>
      </c>
      <c r="W13" s="396">
        <v>180</v>
      </c>
      <c r="X13" s="397">
        <v>215.8548</v>
      </c>
    </row>
    <row r="14" spans="1:24" ht="12.75">
      <c r="A14" s="386">
        <v>9</v>
      </c>
      <c r="B14" s="393" t="s">
        <v>524</v>
      </c>
      <c r="C14" s="394">
        <v>2713.5</v>
      </c>
      <c r="D14" s="395">
        <v>2538.3275</v>
      </c>
      <c r="E14" s="396">
        <v>1609</v>
      </c>
      <c r="F14" s="395">
        <v>1630.3094800000006</v>
      </c>
      <c r="G14" s="396">
        <v>104</v>
      </c>
      <c r="H14" s="395">
        <v>144.57</v>
      </c>
      <c r="I14" s="394">
        <v>378.79999999999995</v>
      </c>
      <c r="J14" s="395">
        <v>278.0256</v>
      </c>
      <c r="K14" s="394">
        <v>482.8</v>
      </c>
      <c r="L14" s="395">
        <v>422.5956</v>
      </c>
      <c r="M14" s="396">
        <v>29</v>
      </c>
      <c r="N14" s="395">
        <v>29</v>
      </c>
      <c r="O14" s="394">
        <v>1201.1999999999998</v>
      </c>
      <c r="P14" s="395">
        <v>1323.2838800000002</v>
      </c>
      <c r="Q14" s="396">
        <v>15</v>
      </c>
      <c r="R14" s="395">
        <v>9.6</v>
      </c>
      <c r="S14" s="396">
        <v>158</v>
      </c>
      <c r="T14" s="395">
        <v>96.6</v>
      </c>
      <c r="U14" s="396">
        <v>89</v>
      </c>
      <c r="V14" s="395">
        <v>134.97</v>
      </c>
      <c r="W14" s="396">
        <v>220.8</v>
      </c>
      <c r="X14" s="397">
        <v>181.42560000000003</v>
      </c>
    </row>
    <row r="15" spans="1:24" ht="13.5" thickBot="1">
      <c r="A15" s="392">
        <v>10</v>
      </c>
      <c r="B15" s="393" t="s">
        <v>525</v>
      </c>
      <c r="C15" s="394">
        <v>22</v>
      </c>
      <c r="D15" s="395">
        <v>24</v>
      </c>
      <c r="E15" s="396">
        <v>3</v>
      </c>
      <c r="F15" s="395">
        <v>6</v>
      </c>
      <c r="G15" s="396">
        <v>0</v>
      </c>
      <c r="H15" s="395">
        <v>0</v>
      </c>
      <c r="I15" s="394">
        <v>3</v>
      </c>
      <c r="J15" s="395">
        <v>6</v>
      </c>
      <c r="K15" s="394">
        <v>3</v>
      </c>
      <c r="L15" s="395">
        <v>6</v>
      </c>
      <c r="M15" s="396">
        <v>0</v>
      </c>
      <c r="N15" s="395">
        <v>0</v>
      </c>
      <c r="O15" s="394">
        <v>0</v>
      </c>
      <c r="P15" s="395">
        <v>0</v>
      </c>
      <c r="Q15" s="396">
        <v>0</v>
      </c>
      <c r="R15" s="395">
        <v>0</v>
      </c>
      <c r="S15" s="396">
        <v>3</v>
      </c>
      <c r="T15" s="395">
        <v>6</v>
      </c>
      <c r="U15" s="396">
        <v>0</v>
      </c>
      <c r="V15" s="395">
        <v>0</v>
      </c>
      <c r="W15" s="396">
        <v>0</v>
      </c>
      <c r="X15" s="397">
        <v>0</v>
      </c>
    </row>
    <row r="16" spans="1:24" ht="12.75">
      <c r="A16" s="386">
        <v>11</v>
      </c>
      <c r="B16" s="393" t="s">
        <v>526</v>
      </c>
      <c r="C16" s="394">
        <v>110</v>
      </c>
      <c r="D16" s="395">
        <v>110</v>
      </c>
      <c r="E16" s="396">
        <v>25</v>
      </c>
      <c r="F16" s="395">
        <v>16.5</v>
      </c>
      <c r="G16" s="396">
        <v>18</v>
      </c>
      <c r="H16" s="395">
        <v>13</v>
      </c>
      <c r="I16" s="394">
        <v>23</v>
      </c>
      <c r="J16" s="395">
        <v>15.5</v>
      </c>
      <c r="K16" s="394">
        <v>41</v>
      </c>
      <c r="L16" s="395">
        <v>28.5</v>
      </c>
      <c r="M16" s="396">
        <v>0</v>
      </c>
      <c r="N16" s="395">
        <v>0</v>
      </c>
      <c r="O16" s="394">
        <v>2</v>
      </c>
      <c r="P16" s="395">
        <v>1</v>
      </c>
      <c r="Q16" s="396">
        <v>1</v>
      </c>
      <c r="R16" s="395">
        <v>1.25</v>
      </c>
      <c r="S16" s="396">
        <v>23</v>
      </c>
      <c r="T16" s="395">
        <v>15.5</v>
      </c>
      <c r="U16" s="396">
        <v>17</v>
      </c>
      <c r="V16" s="395">
        <v>11.75</v>
      </c>
      <c r="W16" s="396">
        <v>0</v>
      </c>
      <c r="X16" s="397">
        <v>0</v>
      </c>
    </row>
    <row r="17" spans="1:24" ht="13.5" thickBot="1">
      <c r="A17" s="392">
        <v>12</v>
      </c>
      <c r="B17" s="393" t="s">
        <v>527</v>
      </c>
      <c r="C17" s="394">
        <v>99</v>
      </c>
      <c r="D17" s="395">
        <v>70</v>
      </c>
      <c r="E17" s="396">
        <v>5</v>
      </c>
      <c r="F17" s="395">
        <v>5</v>
      </c>
      <c r="G17" s="396">
        <v>1</v>
      </c>
      <c r="H17" s="395">
        <v>1</v>
      </c>
      <c r="I17" s="394">
        <v>0</v>
      </c>
      <c r="J17" s="395">
        <v>0</v>
      </c>
      <c r="K17" s="394">
        <v>1</v>
      </c>
      <c r="L17" s="395">
        <v>1</v>
      </c>
      <c r="M17" s="396">
        <v>0</v>
      </c>
      <c r="N17" s="395">
        <v>0</v>
      </c>
      <c r="O17" s="394">
        <v>5</v>
      </c>
      <c r="P17" s="395">
        <v>5</v>
      </c>
      <c r="Q17" s="396">
        <v>0</v>
      </c>
      <c r="R17" s="395">
        <v>0</v>
      </c>
      <c r="S17" s="396">
        <v>0</v>
      </c>
      <c r="T17" s="395">
        <v>0</v>
      </c>
      <c r="U17" s="396">
        <v>1</v>
      </c>
      <c r="V17" s="395">
        <v>1</v>
      </c>
      <c r="W17" s="396">
        <v>0</v>
      </c>
      <c r="X17" s="397">
        <v>0</v>
      </c>
    </row>
    <row r="18" spans="1:24" ht="12.75">
      <c r="A18" s="386">
        <v>13</v>
      </c>
      <c r="B18" s="393" t="s">
        <v>528</v>
      </c>
      <c r="C18" s="394">
        <v>26</v>
      </c>
      <c r="D18" s="395">
        <v>25</v>
      </c>
      <c r="E18" s="396">
        <v>0</v>
      </c>
      <c r="F18" s="395">
        <v>0</v>
      </c>
      <c r="G18" s="396">
        <v>0</v>
      </c>
      <c r="H18" s="395">
        <v>0</v>
      </c>
      <c r="I18" s="394">
        <v>0</v>
      </c>
      <c r="J18" s="395">
        <v>0</v>
      </c>
      <c r="K18" s="394">
        <v>0</v>
      </c>
      <c r="L18" s="395">
        <v>0</v>
      </c>
      <c r="M18" s="396">
        <v>0</v>
      </c>
      <c r="N18" s="395">
        <v>0</v>
      </c>
      <c r="O18" s="394">
        <v>0</v>
      </c>
      <c r="P18" s="395">
        <v>0</v>
      </c>
      <c r="Q18" s="396">
        <v>0</v>
      </c>
      <c r="R18" s="395">
        <v>0</v>
      </c>
      <c r="S18" s="396">
        <v>0</v>
      </c>
      <c r="T18" s="395">
        <v>0</v>
      </c>
      <c r="U18" s="396">
        <v>0</v>
      </c>
      <c r="V18" s="395">
        <v>0</v>
      </c>
      <c r="W18" s="396">
        <v>0</v>
      </c>
      <c r="X18" s="397">
        <v>0</v>
      </c>
    </row>
    <row r="19" spans="1:24" ht="13.5" thickBot="1">
      <c r="A19" s="392">
        <v>14</v>
      </c>
      <c r="B19" s="393" t="s">
        <v>529</v>
      </c>
      <c r="C19" s="394">
        <v>407</v>
      </c>
      <c r="D19" s="395">
        <v>830.4</v>
      </c>
      <c r="E19" s="396">
        <v>496</v>
      </c>
      <c r="F19" s="395">
        <v>595.45</v>
      </c>
      <c r="G19" s="396">
        <v>100</v>
      </c>
      <c r="H19" s="395">
        <v>112.56999999999998</v>
      </c>
      <c r="I19" s="394">
        <v>373.8</v>
      </c>
      <c r="J19" s="395">
        <v>457.84999999999997</v>
      </c>
      <c r="K19" s="394">
        <v>473.8</v>
      </c>
      <c r="L19" s="395">
        <v>570.4199999999998</v>
      </c>
      <c r="M19" s="396">
        <v>0</v>
      </c>
      <c r="N19" s="395">
        <v>0</v>
      </c>
      <c r="O19" s="394">
        <v>122.2</v>
      </c>
      <c r="P19" s="395">
        <v>137.60000000000002</v>
      </c>
      <c r="Q19" s="396">
        <v>16</v>
      </c>
      <c r="R19" s="395">
        <v>25.759999999999998</v>
      </c>
      <c r="S19" s="396">
        <v>315</v>
      </c>
      <c r="T19" s="395">
        <v>387.88</v>
      </c>
      <c r="U19" s="396">
        <v>84</v>
      </c>
      <c r="V19" s="395">
        <v>86.80999999999997</v>
      </c>
      <c r="W19" s="396">
        <v>58.8</v>
      </c>
      <c r="X19" s="397">
        <v>69.97</v>
      </c>
    </row>
    <row r="20" spans="1:24" ht="12.75">
      <c r="A20" s="386">
        <v>15</v>
      </c>
      <c r="B20" s="393" t="s">
        <v>530</v>
      </c>
      <c r="C20" s="394">
        <v>14</v>
      </c>
      <c r="D20" s="395">
        <v>14</v>
      </c>
      <c r="E20" s="396">
        <v>0</v>
      </c>
      <c r="F20" s="395">
        <v>0</v>
      </c>
      <c r="G20" s="396">
        <v>0</v>
      </c>
      <c r="H20" s="395">
        <v>0</v>
      </c>
      <c r="I20" s="394">
        <v>0</v>
      </c>
      <c r="J20" s="395">
        <v>0</v>
      </c>
      <c r="K20" s="394">
        <v>0</v>
      </c>
      <c r="L20" s="395">
        <v>0</v>
      </c>
      <c r="M20" s="396">
        <v>0</v>
      </c>
      <c r="N20" s="395">
        <v>0</v>
      </c>
      <c r="O20" s="394">
        <v>0</v>
      </c>
      <c r="P20" s="395">
        <v>0</v>
      </c>
      <c r="Q20" s="396">
        <v>0</v>
      </c>
      <c r="R20" s="395">
        <v>0</v>
      </c>
      <c r="S20" s="396">
        <v>0</v>
      </c>
      <c r="T20" s="395">
        <v>0</v>
      </c>
      <c r="U20" s="396">
        <v>0</v>
      </c>
      <c r="V20" s="395">
        <v>0</v>
      </c>
      <c r="W20" s="396">
        <v>0</v>
      </c>
      <c r="X20" s="397">
        <v>0</v>
      </c>
    </row>
    <row r="21" spans="1:24" ht="13.5" thickBot="1">
      <c r="A21" s="392">
        <v>16</v>
      </c>
      <c r="B21" s="393" t="s">
        <v>531</v>
      </c>
      <c r="C21" s="394">
        <v>70</v>
      </c>
      <c r="D21" s="395">
        <v>50</v>
      </c>
      <c r="E21" s="396">
        <v>1</v>
      </c>
      <c r="F21" s="395">
        <v>0.5</v>
      </c>
      <c r="G21" s="396">
        <v>0</v>
      </c>
      <c r="H21" s="395">
        <v>0</v>
      </c>
      <c r="I21" s="394">
        <v>1</v>
      </c>
      <c r="J21" s="395">
        <v>0.5</v>
      </c>
      <c r="K21" s="394">
        <v>1</v>
      </c>
      <c r="L21" s="395">
        <v>0.5</v>
      </c>
      <c r="M21" s="396">
        <v>0</v>
      </c>
      <c r="N21" s="395">
        <v>0</v>
      </c>
      <c r="O21" s="394">
        <v>0</v>
      </c>
      <c r="P21" s="395">
        <v>0</v>
      </c>
      <c r="Q21" s="396">
        <v>0</v>
      </c>
      <c r="R21" s="395">
        <v>0</v>
      </c>
      <c r="S21" s="396">
        <v>1</v>
      </c>
      <c r="T21" s="395">
        <v>0.5</v>
      </c>
      <c r="U21" s="396">
        <v>0</v>
      </c>
      <c r="V21" s="395">
        <v>0</v>
      </c>
      <c r="W21" s="396">
        <v>0</v>
      </c>
      <c r="X21" s="397">
        <v>0</v>
      </c>
    </row>
    <row r="22" spans="1:24" ht="12.75">
      <c r="A22" s="386">
        <v>17</v>
      </c>
      <c r="B22" s="393" t="s">
        <v>532</v>
      </c>
      <c r="C22" s="394">
        <v>0</v>
      </c>
      <c r="D22" s="395">
        <v>0</v>
      </c>
      <c r="E22" s="396">
        <v>0</v>
      </c>
      <c r="F22" s="395">
        <v>0</v>
      </c>
      <c r="G22" s="396">
        <v>0</v>
      </c>
      <c r="H22" s="395">
        <v>0</v>
      </c>
      <c r="I22" s="394">
        <v>0</v>
      </c>
      <c r="J22" s="395">
        <v>0</v>
      </c>
      <c r="K22" s="394">
        <v>0</v>
      </c>
      <c r="L22" s="395">
        <v>0</v>
      </c>
      <c r="M22" s="396">
        <v>0</v>
      </c>
      <c r="N22" s="395">
        <v>0</v>
      </c>
      <c r="O22" s="394">
        <v>0</v>
      </c>
      <c r="P22" s="395">
        <v>0</v>
      </c>
      <c r="Q22" s="396">
        <v>0</v>
      </c>
      <c r="R22" s="395">
        <v>0</v>
      </c>
      <c r="S22" s="396">
        <v>0</v>
      </c>
      <c r="T22" s="395">
        <v>0</v>
      </c>
      <c r="U22" s="396">
        <v>0</v>
      </c>
      <c r="V22" s="395">
        <v>0</v>
      </c>
      <c r="W22" s="396">
        <v>0</v>
      </c>
      <c r="X22" s="397">
        <v>0</v>
      </c>
    </row>
    <row r="23" spans="1:24" ht="13.5" thickBot="1">
      <c r="A23" s="392">
        <v>18</v>
      </c>
      <c r="B23" s="393" t="s">
        <v>533</v>
      </c>
      <c r="C23" s="394">
        <v>0</v>
      </c>
      <c r="D23" s="395">
        <v>0</v>
      </c>
      <c r="E23" s="396">
        <v>0</v>
      </c>
      <c r="F23" s="395">
        <v>0</v>
      </c>
      <c r="G23" s="396">
        <v>0</v>
      </c>
      <c r="H23" s="395">
        <v>0</v>
      </c>
      <c r="I23" s="394">
        <v>0</v>
      </c>
      <c r="J23" s="395">
        <v>0</v>
      </c>
      <c r="K23" s="394">
        <v>0</v>
      </c>
      <c r="L23" s="395">
        <v>0</v>
      </c>
      <c r="M23" s="396">
        <v>0</v>
      </c>
      <c r="N23" s="395">
        <v>0</v>
      </c>
      <c r="O23" s="394">
        <v>0</v>
      </c>
      <c r="P23" s="395">
        <v>0</v>
      </c>
      <c r="Q23" s="396">
        <v>0</v>
      </c>
      <c r="R23" s="395">
        <v>0</v>
      </c>
      <c r="S23" s="396">
        <v>0</v>
      </c>
      <c r="T23" s="395">
        <v>0</v>
      </c>
      <c r="U23" s="396">
        <v>0</v>
      </c>
      <c r="V23" s="395">
        <v>0</v>
      </c>
      <c r="W23" s="396">
        <v>0</v>
      </c>
      <c r="X23" s="397">
        <v>0</v>
      </c>
    </row>
    <row r="24" spans="1:24" ht="12.75">
      <c r="A24" s="386">
        <v>19</v>
      </c>
      <c r="B24" s="393" t="s">
        <v>534</v>
      </c>
      <c r="C24" s="394">
        <v>3795</v>
      </c>
      <c r="D24" s="395">
        <v>5416</v>
      </c>
      <c r="E24" s="396">
        <v>906</v>
      </c>
      <c r="F24" s="395">
        <v>1274.65</v>
      </c>
      <c r="G24" s="396">
        <v>999</v>
      </c>
      <c r="H24" s="395">
        <v>1378.49</v>
      </c>
      <c r="I24" s="394">
        <v>474</v>
      </c>
      <c r="J24" s="395">
        <v>630.15</v>
      </c>
      <c r="K24" s="394">
        <v>1473</v>
      </c>
      <c r="L24" s="395">
        <v>2008.64</v>
      </c>
      <c r="M24" s="396">
        <v>4</v>
      </c>
      <c r="N24" s="395">
        <v>4</v>
      </c>
      <c r="O24" s="394">
        <v>428</v>
      </c>
      <c r="P24" s="395">
        <v>640.5</v>
      </c>
      <c r="Q24" s="396">
        <v>202</v>
      </c>
      <c r="R24" s="395">
        <v>227.5</v>
      </c>
      <c r="S24" s="396">
        <v>345</v>
      </c>
      <c r="T24" s="395">
        <v>443.65</v>
      </c>
      <c r="U24" s="396">
        <v>797</v>
      </c>
      <c r="V24" s="395">
        <v>1150.99</v>
      </c>
      <c r="W24" s="396">
        <v>129</v>
      </c>
      <c r="X24" s="397">
        <v>186.5</v>
      </c>
    </row>
    <row r="25" spans="1:24" ht="13.5" thickBot="1">
      <c r="A25" s="392">
        <v>20</v>
      </c>
      <c r="B25" s="393" t="s">
        <v>535</v>
      </c>
      <c r="C25" s="394">
        <v>6071</v>
      </c>
      <c r="D25" s="395">
        <v>5678</v>
      </c>
      <c r="E25" s="396">
        <v>2442</v>
      </c>
      <c r="F25" s="395">
        <v>3654.0099999999993</v>
      </c>
      <c r="G25" s="396">
        <v>393</v>
      </c>
      <c r="H25" s="395">
        <v>464.25</v>
      </c>
      <c r="I25" s="394">
        <v>1673</v>
      </c>
      <c r="J25" s="395">
        <v>2260.4</v>
      </c>
      <c r="K25" s="394">
        <v>2066</v>
      </c>
      <c r="L25" s="395">
        <v>2724.65</v>
      </c>
      <c r="M25" s="396">
        <v>6</v>
      </c>
      <c r="N25" s="395">
        <v>6</v>
      </c>
      <c r="O25" s="394">
        <v>763</v>
      </c>
      <c r="P25" s="395">
        <v>1387.6100000000001</v>
      </c>
      <c r="Q25" s="396">
        <v>119</v>
      </c>
      <c r="R25" s="395">
        <v>94</v>
      </c>
      <c r="S25" s="396">
        <v>1258</v>
      </c>
      <c r="T25" s="395">
        <v>1561.71</v>
      </c>
      <c r="U25" s="396">
        <v>274</v>
      </c>
      <c r="V25" s="395">
        <v>370.25</v>
      </c>
      <c r="W25" s="396">
        <v>415</v>
      </c>
      <c r="X25" s="397">
        <v>698.69</v>
      </c>
    </row>
    <row r="26" spans="1:24" ht="12.75">
      <c r="A26" s="386">
        <v>21</v>
      </c>
      <c r="B26" s="393" t="s">
        <v>536</v>
      </c>
      <c r="C26" s="394">
        <v>24</v>
      </c>
      <c r="D26" s="395">
        <v>19</v>
      </c>
      <c r="E26" s="396">
        <v>13</v>
      </c>
      <c r="F26" s="395">
        <v>15</v>
      </c>
      <c r="G26" s="396">
        <v>0</v>
      </c>
      <c r="H26" s="395">
        <v>0</v>
      </c>
      <c r="I26" s="394">
        <v>0</v>
      </c>
      <c r="J26" s="395">
        <v>0</v>
      </c>
      <c r="K26" s="394">
        <v>0</v>
      </c>
      <c r="L26" s="395">
        <v>0</v>
      </c>
      <c r="M26" s="396">
        <v>0</v>
      </c>
      <c r="N26" s="395">
        <v>0</v>
      </c>
      <c r="O26" s="394">
        <v>13</v>
      </c>
      <c r="P26" s="395">
        <v>15</v>
      </c>
      <c r="Q26" s="396">
        <v>0</v>
      </c>
      <c r="R26" s="395">
        <v>0</v>
      </c>
      <c r="S26" s="396">
        <v>0</v>
      </c>
      <c r="T26" s="395">
        <v>0</v>
      </c>
      <c r="U26" s="396">
        <v>0</v>
      </c>
      <c r="V26" s="395">
        <v>0</v>
      </c>
      <c r="W26" s="396">
        <v>0</v>
      </c>
      <c r="X26" s="397">
        <v>0</v>
      </c>
    </row>
    <row r="27" spans="1:24" ht="13.5" thickBot="1">
      <c r="A27" s="392">
        <v>22</v>
      </c>
      <c r="B27" s="393" t="s">
        <v>537</v>
      </c>
      <c r="C27" s="394">
        <v>871.9</v>
      </c>
      <c r="D27" s="395">
        <v>1033.5375</v>
      </c>
      <c r="E27" s="396">
        <v>439</v>
      </c>
      <c r="F27" s="395">
        <v>502.32184</v>
      </c>
      <c r="G27" s="396">
        <v>57</v>
      </c>
      <c r="H27" s="395">
        <v>64.3</v>
      </c>
      <c r="I27" s="394">
        <v>256.4</v>
      </c>
      <c r="J27" s="395">
        <v>268.49184</v>
      </c>
      <c r="K27" s="394">
        <v>313.4</v>
      </c>
      <c r="L27" s="395">
        <v>332.79184</v>
      </c>
      <c r="M27" s="396">
        <v>0</v>
      </c>
      <c r="N27" s="395">
        <v>0</v>
      </c>
      <c r="O27" s="394">
        <v>182.6</v>
      </c>
      <c r="P27" s="395">
        <v>233.83</v>
      </c>
      <c r="Q27" s="396">
        <v>7</v>
      </c>
      <c r="R27" s="395">
        <v>7</v>
      </c>
      <c r="S27" s="396">
        <v>191</v>
      </c>
      <c r="T27" s="395">
        <v>203.54</v>
      </c>
      <c r="U27" s="396">
        <v>50</v>
      </c>
      <c r="V27" s="395">
        <v>57.3</v>
      </c>
      <c r="W27" s="396">
        <v>65.4</v>
      </c>
      <c r="X27" s="397">
        <v>64.95184</v>
      </c>
    </row>
    <row r="28" spans="1:24" ht="12.75">
      <c r="A28" s="386">
        <v>23</v>
      </c>
      <c r="B28" s="393" t="s">
        <v>538</v>
      </c>
      <c r="C28" s="394">
        <v>0</v>
      </c>
      <c r="D28" s="395">
        <v>160</v>
      </c>
      <c r="E28" s="396">
        <v>20</v>
      </c>
      <c r="F28" s="395">
        <v>25</v>
      </c>
      <c r="G28" s="396">
        <v>18</v>
      </c>
      <c r="H28" s="395">
        <v>20.319999999999997</v>
      </c>
      <c r="I28" s="394">
        <v>20</v>
      </c>
      <c r="J28" s="395">
        <v>23</v>
      </c>
      <c r="K28" s="394">
        <v>38</v>
      </c>
      <c r="L28" s="395">
        <v>43.31999999999999</v>
      </c>
      <c r="M28" s="396">
        <v>0</v>
      </c>
      <c r="N28" s="395">
        <v>0</v>
      </c>
      <c r="O28" s="394">
        <v>0</v>
      </c>
      <c r="P28" s="395">
        <v>2</v>
      </c>
      <c r="Q28" s="396">
        <v>13</v>
      </c>
      <c r="R28" s="395">
        <v>16.5</v>
      </c>
      <c r="S28" s="396">
        <v>20</v>
      </c>
      <c r="T28" s="395">
        <v>23</v>
      </c>
      <c r="U28" s="396">
        <v>5</v>
      </c>
      <c r="V28" s="395">
        <v>3.8199999999999967</v>
      </c>
      <c r="W28" s="396">
        <v>0</v>
      </c>
      <c r="X28" s="397">
        <v>0</v>
      </c>
    </row>
    <row r="29" spans="1:24" ht="13.5" thickBot="1">
      <c r="A29" s="392">
        <v>24</v>
      </c>
      <c r="B29" s="393" t="s">
        <v>539</v>
      </c>
      <c r="C29" s="394">
        <v>0</v>
      </c>
      <c r="D29" s="395">
        <v>30</v>
      </c>
      <c r="E29" s="396">
        <v>0</v>
      </c>
      <c r="F29" s="395">
        <v>0</v>
      </c>
      <c r="G29" s="396">
        <v>0</v>
      </c>
      <c r="H29" s="395">
        <v>0</v>
      </c>
      <c r="I29" s="394">
        <v>0</v>
      </c>
      <c r="J29" s="395">
        <v>0</v>
      </c>
      <c r="K29" s="394">
        <v>0</v>
      </c>
      <c r="L29" s="395">
        <v>0</v>
      </c>
      <c r="M29" s="396">
        <v>0</v>
      </c>
      <c r="N29" s="395">
        <v>0</v>
      </c>
      <c r="O29" s="394">
        <v>0</v>
      </c>
      <c r="P29" s="395">
        <v>0</v>
      </c>
      <c r="Q29" s="396">
        <v>0</v>
      </c>
      <c r="R29" s="395">
        <v>0</v>
      </c>
      <c r="S29" s="396">
        <v>0</v>
      </c>
      <c r="T29" s="395">
        <v>0</v>
      </c>
      <c r="U29" s="396">
        <v>0</v>
      </c>
      <c r="V29" s="395">
        <v>0</v>
      </c>
      <c r="W29" s="396">
        <v>0</v>
      </c>
      <c r="X29" s="397">
        <v>0</v>
      </c>
    </row>
    <row r="30" spans="1:24" ht="12.75">
      <c r="A30" s="386">
        <v>25</v>
      </c>
      <c r="B30" s="393" t="s">
        <v>540</v>
      </c>
      <c r="C30" s="394">
        <v>2285.1</v>
      </c>
      <c r="D30" s="395">
        <v>2923.1375</v>
      </c>
      <c r="E30" s="396">
        <v>737</v>
      </c>
      <c r="F30" s="395">
        <v>787.0952199999999</v>
      </c>
      <c r="G30" s="396">
        <v>638</v>
      </c>
      <c r="H30" s="395">
        <v>632.6700000000001</v>
      </c>
      <c r="I30" s="394">
        <v>159.8</v>
      </c>
      <c r="J30" s="395">
        <v>156.18300000000002</v>
      </c>
      <c r="K30" s="394">
        <v>797.8</v>
      </c>
      <c r="L30" s="395">
        <v>788.853</v>
      </c>
      <c r="M30" s="396">
        <v>0</v>
      </c>
      <c r="N30" s="395">
        <v>0</v>
      </c>
      <c r="O30" s="394">
        <v>577.2</v>
      </c>
      <c r="P30" s="395">
        <v>630.91222</v>
      </c>
      <c r="Q30" s="396">
        <v>18</v>
      </c>
      <c r="R30" s="395">
        <v>19</v>
      </c>
      <c r="S30" s="396">
        <v>85</v>
      </c>
      <c r="T30" s="395">
        <v>84.2</v>
      </c>
      <c r="U30" s="396">
        <v>620</v>
      </c>
      <c r="V30" s="395">
        <v>613.6700000000001</v>
      </c>
      <c r="W30" s="396">
        <v>74.8</v>
      </c>
      <c r="X30" s="397">
        <v>71.983</v>
      </c>
    </row>
    <row r="31" spans="1:24" ht="13.5" thickBot="1">
      <c r="A31" s="392">
        <v>26</v>
      </c>
      <c r="B31" s="393" t="s">
        <v>541</v>
      </c>
      <c r="C31" s="394">
        <v>52</v>
      </c>
      <c r="D31" s="395">
        <v>67</v>
      </c>
      <c r="E31" s="396">
        <v>2</v>
      </c>
      <c r="F31" s="395">
        <v>2</v>
      </c>
      <c r="G31" s="396">
        <v>0</v>
      </c>
      <c r="H31" s="395">
        <v>0</v>
      </c>
      <c r="I31" s="394">
        <v>0</v>
      </c>
      <c r="J31" s="395">
        <v>0</v>
      </c>
      <c r="K31" s="394">
        <v>0</v>
      </c>
      <c r="L31" s="395">
        <v>0</v>
      </c>
      <c r="M31" s="396">
        <v>0</v>
      </c>
      <c r="N31" s="395">
        <v>0</v>
      </c>
      <c r="O31" s="394">
        <v>2</v>
      </c>
      <c r="P31" s="395">
        <v>2</v>
      </c>
      <c r="Q31" s="396">
        <v>0</v>
      </c>
      <c r="R31" s="395">
        <v>0</v>
      </c>
      <c r="S31" s="396">
        <v>0</v>
      </c>
      <c r="T31" s="395">
        <v>0</v>
      </c>
      <c r="U31" s="396">
        <v>0</v>
      </c>
      <c r="V31" s="395">
        <v>0</v>
      </c>
      <c r="W31" s="396">
        <v>0</v>
      </c>
      <c r="X31" s="397">
        <v>0</v>
      </c>
    </row>
    <row r="32" spans="1:24" ht="12.75">
      <c r="A32" s="386">
        <v>27</v>
      </c>
      <c r="B32" s="393" t="s">
        <v>542</v>
      </c>
      <c r="C32" s="394">
        <v>1534.4</v>
      </c>
      <c r="D32" s="395">
        <v>1915.99</v>
      </c>
      <c r="E32" s="396">
        <v>354</v>
      </c>
      <c r="F32" s="395">
        <v>507.98</v>
      </c>
      <c r="G32" s="396">
        <v>218</v>
      </c>
      <c r="H32" s="395">
        <v>531.15</v>
      </c>
      <c r="I32" s="394">
        <v>151</v>
      </c>
      <c r="J32" s="395">
        <v>179.55</v>
      </c>
      <c r="K32" s="394">
        <v>369</v>
      </c>
      <c r="L32" s="395">
        <v>710.6999999999999</v>
      </c>
      <c r="M32" s="396">
        <v>1</v>
      </c>
      <c r="N32" s="395">
        <v>4</v>
      </c>
      <c r="O32" s="394">
        <v>202</v>
      </c>
      <c r="P32" s="395">
        <v>324.43</v>
      </c>
      <c r="Q32" s="396">
        <v>7</v>
      </c>
      <c r="R32" s="395">
        <v>4.2</v>
      </c>
      <c r="S32" s="396">
        <v>113</v>
      </c>
      <c r="T32" s="395">
        <v>109.55</v>
      </c>
      <c r="U32" s="396">
        <v>211</v>
      </c>
      <c r="V32" s="395">
        <v>526.95</v>
      </c>
      <c r="W32" s="396">
        <v>38</v>
      </c>
      <c r="X32" s="397">
        <v>70</v>
      </c>
    </row>
    <row r="33" spans="1:24" ht="13.5" thickBot="1">
      <c r="A33" s="392">
        <v>28</v>
      </c>
      <c r="B33" s="393" t="s">
        <v>543</v>
      </c>
      <c r="C33" s="394">
        <v>190.5</v>
      </c>
      <c r="D33" s="395">
        <v>213.02499999999998</v>
      </c>
      <c r="E33" s="396">
        <v>179</v>
      </c>
      <c r="F33" s="395">
        <v>203.2</v>
      </c>
      <c r="G33" s="396">
        <v>1</v>
      </c>
      <c r="H33" s="395">
        <v>1</v>
      </c>
      <c r="I33" s="394">
        <v>35.99999999999999</v>
      </c>
      <c r="J33" s="395">
        <v>30.4</v>
      </c>
      <c r="K33" s="394">
        <v>36.99999999999999</v>
      </c>
      <c r="L33" s="395">
        <v>31.4</v>
      </c>
      <c r="M33" s="396">
        <v>0</v>
      </c>
      <c r="N33" s="395">
        <v>0</v>
      </c>
      <c r="O33" s="394">
        <v>143</v>
      </c>
      <c r="P33" s="395">
        <v>172.8</v>
      </c>
      <c r="Q33" s="396">
        <v>0</v>
      </c>
      <c r="R33" s="395">
        <v>0</v>
      </c>
      <c r="S33" s="396">
        <v>5</v>
      </c>
      <c r="T33" s="395">
        <v>1.1600000000000001</v>
      </c>
      <c r="U33" s="396">
        <v>1</v>
      </c>
      <c r="V33" s="395">
        <v>1</v>
      </c>
      <c r="W33" s="396">
        <v>30.999999999999996</v>
      </c>
      <c r="X33" s="397">
        <v>29.24</v>
      </c>
    </row>
    <row r="34" spans="1:24" ht="12.75">
      <c r="A34" s="386">
        <v>29</v>
      </c>
      <c r="B34" s="393" t="s">
        <v>544</v>
      </c>
      <c r="C34" s="394">
        <v>0</v>
      </c>
      <c r="D34" s="395">
        <v>0</v>
      </c>
      <c r="E34" s="396">
        <v>0</v>
      </c>
      <c r="F34" s="395">
        <v>0</v>
      </c>
      <c r="G34" s="396">
        <v>0</v>
      </c>
      <c r="H34" s="395">
        <v>0</v>
      </c>
      <c r="I34" s="394">
        <v>0</v>
      </c>
      <c r="J34" s="395">
        <v>0</v>
      </c>
      <c r="K34" s="394">
        <v>0</v>
      </c>
      <c r="L34" s="395">
        <v>0</v>
      </c>
      <c r="M34" s="396">
        <v>0</v>
      </c>
      <c r="N34" s="395">
        <v>0</v>
      </c>
      <c r="O34" s="394">
        <v>0</v>
      </c>
      <c r="P34" s="395">
        <v>0</v>
      </c>
      <c r="Q34" s="396">
        <v>0</v>
      </c>
      <c r="R34" s="395">
        <v>0</v>
      </c>
      <c r="S34" s="396">
        <v>0</v>
      </c>
      <c r="T34" s="395">
        <v>0</v>
      </c>
      <c r="U34" s="396">
        <v>0</v>
      </c>
      <c r="V34" s="395">
        <v>0</v>
      </c>
      <c r="W34" s="396">
        <v>0</v>
      </c>
      <c r="X34" s="397">
        <v>0</v>
      </c>
    </row>
    <row r="35" spans="1:24" ht="13.5" thickBot="1">
      <c r="A35" s="392">
        <v>30</v>
      </c>
      <c r="B35" s="393" t="s">
        <v>545</v>
      </c>
      <c r="C35" s="394">
        <v>24</v>
      </c>
      <c r="D35" s="395">
        <v>25</v>
      </c>
      <c r="E35" s="396">
        <v>11</v>
      </c>
      <c r="F35" s="395">
        <v>11.5</v>
      </c>
      <c r="G35" s="396">
        <v>0</v>
      </c>
      <c r="H35" s="395">
        <v>0</v>
      </c>
      <c r="I35" s="394">
        <v>3</v>
      </c>
      <c r="J35" s="395">
        <v>3</v>
      </c>
      <c r="K35" s="394">
        <v>3</v>
      </c>
      <c r="L35" s="395">
        <v>3</v>
      </c>
      <c r="M35" s="396">
        <v>0</v>
      </c>
      <c r="N35" s="395">
        <v>0</v>
      </c>
      <c r="O35" s="394">
        <v>8</v>
      </c>
      <c r="P35" s="395">
        <v>8.5</v>
      </c>
      <c r="Q35" s="396">
        <v>0</v>
      </c>
      <c r="R35" s="395">
        <v>0</v>
      </c>
      <c r="S35" s="396">
        <v>3</v>
      </c>
      <c r="T35" s="395">
        <v>3</v>
      </c>
      <c r="U35" s="396">
        <v>0</v>
      </c>
      <c r="V35" s="395">
        <v>0</v>
      </c>
      <c r="W35" s="396">
        <v>0</v>
      </c>
      <c r="X35" s="397">
        <v>0</v>
      </c>
    </row>
    <row r="36" spans="1:24" ht="13.5" thickBot="1">
      <c r="A36" s="386">
        <v>31</v>
      </c>
      <c r="B36" s="398" t="s">
        <v>546</v>
      </c>
      <c r="C36" s="399">
        <v>2</v>
      </c>
      <c r="D36" s="400">
        <v>2</v>
      </c>
      <c r="E36" s="401">
        <v>0</v>
      </c>
      <c r="F36" s="400">
        <v>0</v>
      </c>
      <c r="G36" s="401">
        <v>0</v>
      </c>
      <c r="H36" s="400">
        <v>0</v>
      </c>
      <c r="I36" s="399">
        <v>0</v>
      </c>
      <c r="J36" s="400">
        <v>0</v>
      </c>
      <c r="K36" s="399">
        <v>0</v>
      </c>
      <c r="L36" s="400">
        <v>0</v>
      </c>
      <c r="M36" s="401">
        <v>0</v>
      </c>
      <c r="N36" s="400">
        <v>0</v>
      </c>
      <c r="O36" s="399">
        <v>0</v>
      </c>
      <c r="P36" s="400">
        <v>0</v>
      </c>
      <c r="Q36" s="401">
        <v>0</v>
      </c>
      <c r="R36" s="400">
        <v>0</v>
      </c>
      <c r="S36" s="401">
        <v>0</v>
      </c>
      <c r="T36" s="400">
        <v>0</v>
      </c>
      <c r="U36" s="401">
        <v>0</v>
      </c>
      <c r="V36" s="400">
        <v>0</v>
      </c>
      <c r="W36" s="401">
        <v>0</v>
      </c>
      <c r="X36" s="402">
        <v>0</v>
      </c>
    </row>
    <row r="37" spans="1:24" ht="15.75" thickBot="1">
      <c r="A37" s="403"/>
      <c r="B37" s="404"/>
      <c r="C37" s="405">
        <f aca="true" t="shared" si="0" ref="C37:X37">SUM(C6:C36)</f>
        <v>22825.300000000003</v>
      </c>
      <c r="D37" s="406">
        <f t="shared" si="0"/>
        <v>26352.06</v>
      </c>
      <c r="E37" s="404">
        <f t="shared" si="0"/>
        <v>9434</v>
      </c>
      <c r="F37" s="404">
        <f t="shared" si="0"/>
        <v>12417.008429999998</v>
      </c>
      <c r="G37" s="404">
        <f t="shared" si="0"/>
        <v>3013</v>
      </c>
      <c r="H37" s="404">
        <f t="shared" si="0"/>
        <v>3878.0200000000004</v>
      </c>
      <c r="I37" s="404">
        <f t="shared" si="0"/>
        <v>4373</v>
      </c>
      <c r="J37" s="406">
        <f t="shared" si="0"/>
        <v>5276.38524</v>
      </c>
      <c r="K37" s="404">
        <f t="shared" si="0"/>
        <v>7386</v>
      </c>
      <c r="L37" s="406">
        <f t="shared" si="0"/>
        <v>9154.40524</v>
      </c>
      <c r="M37" s="404">
        <f t="shared" si="0"/>
        <v>58</v>
      </c>
      <c r="N37" s="406">
        <f t="shared" si="0"/>
        <v>53.5</v>
      </c>
      <c r="O37" s="404">
        <f t="shared" si="0"/>
        <v>5003</v>
      </c>
      <c r="P37" s="406">
        <f t="shared" si="0"/>
        <v>7087.123190000001</v>
      </c>
      <c r="Q37" s="404">
        <f t="shared" si="0"/>
        <v>490</v>
      </c>
      <c r="R37" s="406">
        <f t="shared" si="0"/>
        <v>488.44</v>
      </c>
      <c r="S37" s="404">
        <f t="shared" si="0"/>
        <v>3050</v>
      </c>
      <c r="T37" s="406">
        <f t="shared" si="0"/>
        <v>3468.7</v>
      </c>
      <c r="U37" s="404">
        <f t="shared" si="0"/>
        <v>2523</v>
      </c>
      <c r="V37" s="406">
        <f t="shared" si="0"/>
        <v>3389.580000000001</v>
      </c>
      <c r="W37" s="404">
        <f t="shared" si="0"/>
        <v>1323</v>
      </c>
      <c r="X37" s="407">
        <f t="shared" si="0"/>
        <v>1807.68524</v>
      </c>
    </row>
  </sheetData>
  <sheetProtection/>
  <mergeCells count="10">
    <mergeCell ref="A1:X1"/>
    <mergeCell ref="C2:D2"/>
    <mergeCell ref="E2:F2"/>
    <mergeCell ref="G2:H2"/>
    <mergeCell ref="I2:J2"/>
    <mergeCell ref="K2:L2"/>
    <mergeCell ref="M2:N2"/>
    <mergeCell ref="O2:P2"/>
    <mergeCell ref="Q2:T2"/>
    <mergeCell ref="U2:X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2" sqref="N2"/>
    </sheetView>
  </sheetViews>
  <sheetFormatPr defaultColWidth="9.140625" defaultRowHeight="12.75"/>
  <cols>
    <col min="1" max="1" width="6.421875" style="452" customWidth="1"/>
    <col min="2" max="2" width="20.57421875" style="409" customWidth="1"/>
    <col min="3" max="3" width="11.140625" style="409" customWidth="1"/>
    <col min="4" max="4" width="9.28125" style="409" bestFit="1" customWidth="1"/>
    <col min="5" max="5" width="9.57421875" style="410" customWidth="1"/>
    <col min="6" max="6" width="10.140625" style="409" bestFit="1" customWidth="1"/>
    <col min="7" max="7" width="10.140625" style="409" customWidth="1"/>
    <col min="8" max="8" width="8.00390625" style="409" customWidth="1"/>
    <col min="9" max="9" width="10.28125" style="409" customWidth="1"/>
    <col min="10" max="10" width="12.421875" style="409" bestFit="1" customWidth="1"/>
    <col min="11" max="11" width="10.8515625" style="411" customWidth="1"/>
    <col min="12" max="16384" width="9.140625" style="409" customWidth="1"/>
  </cols>
  <sheetData>
    <row r="1" spans="1:11" ht="14.25">
      <c r="A1" s="698" t="s">
        <v>562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</row>
    <row r="2" spans="1:11" s="344" customFormat="1" ht="108.75" customHeight="1">
      <c r="A2" s="412" t="s">
        <v>547</v>
      </c>
      <c r="B2" s="412" t="s">
        <v>548</v>
      </c>
      <c r="C2" s="412" t="s">
        <v>549</v>
      </c>
      <c r="D2" s="412" t="s">
        <v>550</v>
      </c>
      <c r="E2" s="413" t="s">
        <v>551</v>
      </c>
      <c r="F2" s="412" t="s">
        <v>552</v>
      </c>
      <c r="G2" s="412" t="s">
        <v>553</v>
      </c>
      <c r="H2" s="412" t="s">
        <v>554</v>
      </c>
      <c r="I2" s="412" t="s">
        <v>555</v>
      </c>
      <c r="J2" s="412" t="s">
        <v>556</v>
      </c>
      <c r="K2" s="414" t="s">
        <v>557</v>
      </c>
    </row>
    <row r="3" spans="1:11" ht="15" customHeight="1">
      <c r="A3" s="415">
        <v>1</v>
      </c>
      <c r="B3" s="416" t="s">
        <v>57</v>
      </c>
      <c r="C3" s="417">
        <v>472392</v>
      </c>
      <c r="D3" s="417">
        <v>64857</v>
      </c>
      <c r="E3" s="418">
        <v>32.09</v>
      </c>
      <c r="F3" s="1">
        <v>383721</v>
      </c>
      <c r="G3" s="1">
        <v>237972</v>
      </c>
      <c r="H3" s="418">
        <f>G3/C3*100</f>
        <v>50.37595894934716</v>
      </c>
      <c r="I3" s="1">
        <v>81594</v>
      </c>
      <c r="J3" s="418">
        <f>I3/C3*100</f>
        <v>17.27251943301326</v>
      </c>
      <c r="K3" s="419">
        <v>110823</v>
      </c>
    </row>
    <row r="4" spans="1:11" ht="15" customHeight="1">
      <c r="A4" s="415">
        <v>2</v>
      </c>
      <c r="B4" s="416" t="s">
        <v>58</v>
      </c>
      <c r="C4" s="417">
        <v>18468</v>
      </c>
      <c r="D4" s="1">
        <v>925</v>
      </c>
      <c r="E4" s="418">
        <v>2.3</v>
      </c>
      <c r="F4" s="1">
        <v>15249</v>
      </c>
      <c r="G4" s="1">
        <v>16052</v>
      </c>
      <c r="H4" s="418">
        <f aca="true" t="shared" si="0" ref="H4:H35">G4/C4*100</f>
        <v>86.9179120641109</v>
      </c>
      <c r="I4" s="1">
        <v>4972</v>
      </c>
      <c r="J4" s="418">
        <f aca="true" t="shared" si="1" ref="J4:J35">I4/C4*100</f>
        <v>26.922243881308212</v>
      </c>
      <c r="K4" s="419">
        <v>11175</v>
      </c>
    </row>
    <row r="5" spans="1:11" ht="15" customHeight="1">
      <c r="A5" s="415">
        <v>3</v>
      </c>
      <c r="B5" s="416" t="s">
        <v>49</v>
      </c>
      <c r="C5" s="1">
        <v>26191</v>
      </c>
      <c r="D5" s="1">
        <v>611</v>
      </c>
      <c r="E5" s="418">
        <v>4.41</v>
      </c>
      <c r="F5" s="1">
        <v>22442</v>
      </c>
      <c r="G5" s="1">
        <v>11973</v>
      </c>
      <c r="H5" s="418">
        <f t="shared" si="0"/>
        <v>45.7141766255584</v>
      </c>
      <c r="I5" s="1">
        <v>10108</v>
      </c>
      <c r="J5" s="418">
        <f t="shared" si="1"/>
        <v>38.59340994998282</v>
      </c>
      <c r="K5" s="419">
        <v>17965</v>
      </c>
    </row>
    <row r="6" spans="1:11" ht="15" customHeight="1">
      <c r="A6" s="415">
        <v>4</v>
      </c>
      <c r="B6" s="416" t="s">
        <v>59</v>
      </c>
      <c r="C6" s="417">
        <v>527433</v>
      </c>
      <c r="D6" s="417">
        <v>19810</v>
      </c>
      <c r="E6" s="418"/>
      <c r="F6" s="1">
        <v>463653</v>
      </c>
      <c r="G6" s="1">
        <v>315123</v>
      </c>
      <c r="H6" s="418">
        <f t="shared" si="0"/>
        <v>59.74654600679138</v>
      </c>
      <c r="I6" s="1">
        <v>87590</v>
      </c>
      <c r="J6" s="418">
        <f t="shared" si="1"/>
        <v>16.606848642386808</v>
      </c>
      <c r="K6" s="419">
        <v>110446</v>
      </c>
    </row>
    <row r="7" spans="1:11" ht="15" customHeight="1">
      <c r="A7" s="415">
        <v>5</v>
      </c>
      <c r="B7" s="416" t="s">
        <v>60</v>
      </c>
      <c r="C7" s="422">
        <v>2495516</v>
      </c>
      <c r="D7" s="1">
        <v>379542</v>
      </c>
      <c r="E7" s="1">
        <v>241.42</v>
      </c>
      <c r="F7" s="422">
        <v>2409845</v>
      </c>
      <c r="G7" s="1">
        <v>1312753</v>
      </c>
      <c r="H7" s="418">
        <f>G7/C7*100</f>
        <v>52.60447137986692</v>
      </c>
      <c r="I7" s="1">
        <v>428152</v>
      </c>
      <c r="J7" s="418">
        <f>I7/C7*100</f>
        <v>17.156852530699062</v>
      </c>
      <c r="K7" s="423">
        <v>2048105</v>
      </c>
    </row>
    <row r="8" spans="1:11" ht="15" customHeight="1">
      <c r="A8" s="415">
        <v>6</v>
      </c>
      <c r="B8" s="416" t="s">
        <v>61</v>
      </c>
      <c r="C8" s="1">
        <v>218963</v>
      </c>
      <c r="D8" s="1">
        <v>23249</v>
      </c>
      <c r="E8" s="418">
        <v>5.23</v>
      </c>
      <c r="F8" s="1">
        <v>190231</v>
      </c>
      <c r="G8" s="1">
        <v>143897</v>
      </c>
      <c r="H8" s="418">
        <f t="shared" si="0"/>
        <v>65.71749564994998</v>
      </c>
      <c r="I8" s="1">
        <v>47894</v>
      </c>
      <c r="J8" s="418">
        <f t="shared" si="1"/>
        <v>21.873101848257466</v>
      </c>
      <c r="K8" s="419">
        <v>190231</v>
      </c>
    </row>
    <row r="9" spans="1:11" ht="15" customHeight="1">
      <c r="A9" s="415">
        <v>7</v>
      </c>
      <c r="B9" s="416" t="s">
        <v>70</v>
      </c>
      <c r="C9" s="1">
        <v>3711</v>
      </c>
      <c r="D9" s="1">
        <v>0</v>
      </c>
      <c r="E9" s="418">
        <v>0.37</v>
      </c>
      <c r="F9" s="1">
        <v>3710</v>
      </c>
      <c r="G9" s="1">
        <v>2701</v>
      </c>
      <c r="H9" s="418">
        <f t="shared" si="0"/>
        <v>72.7836162759364</v>
      </c>
      <c r="I9" s="1">
        <v>545</v>
      </c>
      <c r="J9" s="418">
        <f t="shared" si="1"/>
        <v>14.686068445163029</v>
      </c>
      <c r="K9" s="419">
        <v>3165</v>
      </c>
    </row>
    <row r="10" spans="1:19" ht="15" customHeight="1">
      <c r="A10" s="415">
        <v>8</v>
      </c>
      <c r="B10" s="416" t="s">
        <v>62</v>
      </c>
      <c r="C10" s="1">
        <v>213351</v>
      </c>
      <c r="D10" s="1">
        <v>15816</v>
      </c>
      <c r="E10" s="418">
        <v>33.81</v>
      </c>
      <c r="F10" s="1">
        <v>189391</v>
      </c>
      <c r="G10" s="1">
        <v>136010</v>
      </c>
      <c r="H10" s="418">
        <f>G10/C10*100</f>
        <v>63.74940825212912</v>
      </c>
      <c r="I10" s="1">
        <v>39163</v>
      </c>
      <c r="J10" s="418">
        <f t="shared" si="1"/>
        <v>18.35613613247653</v>
      </c>
      <c r="K10" s="419">
        <v>163763</v>
      </c>
      <c r="L10" s="424"/>
      <c r="M10" s="425"/>
      <c r="N10" s="426"/>
      <c r="O10" s="424"/>
      <c r="P10" s="424"/>
      <c r="Q10" s="424"/>
      <c r="R10" s="424"/>
      <c r="S10" s="426"/>
    </row>
    <row r="11" spans="1:11" s="430" customFormat="1" ht="15" customHeight="1">
      <c r="A11" s="415">
        <v>9</v>
      </c>
      <c r="B11" s="427" t="s">
        <v>63</v>
      </c>
      <c r="C11" s="428">
        <v>1349279</v>
      </c>
      <c r="D11" s="429">
        <v>27814</v>
      </c>
      <c r="E11" s="418">
        <v>129.4</v>
      </c>
      <c r="F11" s="429">
        <v>1065886</v>
      </c>
      <c r="G11" s="429">
        <v>743990</v>
      </c>
      <c r="H11" s="418">
        <f t="shared" si="0"/>
        <v>55.13981911821054</v>
      </c>
      <c r="I11" s="429">
        <v>143678</v>
      </c>
      <c r="J11" s="418">
        <f t="shared" si="1"/>
        <v>10.648501903609262</v>
      </c>
      <c r="K11" s="419">
        <v>416724</v>
      </c>
    </row>
    <row r="12" spans="1:11" ht="15" customHeight="1">
      <c r="A12" s="415">
        <v>10</v>
      </c>
      <c r="B12" s="416" t="s">
        <v>48</v>
      </c>
      <c r="C12" s="431">
        <v>1072288</v>
      </c>
      <c r="D12" s="431">
        <v>4792</v>
      </c>
      <c r="E12" s="431">
        <v>307.12</v>
      </c>
      <c r="F12" s="431">
        <v>963553</v>
      </c>
      <c r="G12" s="431">
        <v>554489</v>
      </c>
      <c r="H12" s="432">
        <f>G12/C12%</f>
        <v>51.7108276880838</v>
      </c>
      <c r="I12" s="431">
        <v>39685</v>
      </c>
      <c r="J12" s="418">
        <f t="shared" si="1"/>
        <v>3.700964666209078</v>
      </c>
      <c r="K12" s="431">
        <v>403666</v>
      </c>
    </row>
    <row r="13" spans="1:11" ht="15" customHeight="1">
      <c r="A13" s="415">
        <v>11</v>
      </c>
      <c r="B13" s="416" t="s">
        <v>50</v>
      </c>
      <c r="C13" s="35">
        <v>90483</v>
      </c>
      <c r="D13" s="1">
        <v>1215</v>
      </c>
      <c r="E13" s="418">
        <v>20</v>
      </c>
      <c r="F13" s="1">
        <v>87264</v>
      </c>
      <c r="G13" s="1">
        <v>61507</v>
      </c>
      <c r="H13" s="418">
        <f t="shared" si="0"/>
        <v>67.97630494125968</v>
      </c>
      <c r="I13" s="35">
        <v>7325</v>
      </c>
      <c r="J13" s="418">
        <f t="shared" si="1"/>
        <v>8.0954433429484</v>
      </c>
      <c r="K13" s="419">
        <v>79160</v>
      </c>
    </row>
    <row r="14" spans="1:11" ht="15" customHeight="1">
      <c r="A14" s="415">
        <v>12</v>
      </c>
      <c r="B14" s="416" t="s">
        <v>558</v>
      </c>
      <c r="C14" s="35">
        <v>28</v>
      </c>
      <c r="D14" s="1">
        <v>0</v>
      </c>
      <c r="E14" s="418">
        <v>0.0006</v>
      </c>
      <c r="F14" s="1">
        <v>28</v>
      </c>
      <c r="G14" s="1">
        <v>8</v>
      </c>
      <c r="H14" s="418">
        <f t="shared" si="0"/>
        <v>28.57142857142857</v>
      </c>
      <c r="I14" s="35">
        <v>16</v>
      </c>
      <c r="J14" s="418">
        <f t="shared" si="1"/>
        <v>57.14285714285714</v>
      </c>
      <c r="K14" s="419">
        <v>28</v>
      </c>
    </row>
    <row r="15" spans="1:11" ht="15" customHeight="1">
      <c r="A15" s="415">
        <v>13</v>
      </c>
      <c r="B15" s="416" t="s">
        <v>51</v>
      </c>
      <c r="C15" s="1">
        <v>106150</v>
      </c>
      <c r="D15" s="1">
        <v>2761</v>
      </c>
      <c r="E15" s="418">
        <v>8.96</v>
      </c>
      <c r="F15" s="1">
        <v>99224</v>
      </c>
      <c r="G15" s="1">
        <v>72648</v>
      </c>
      <c r="H15" s="418">
        <f t="shared" si="0"/>
        <v>68.43900141309469</v>
      </c>
      <c r="I15" s="1">
        <v>31104</v>
      </c>
      <c r="J15" s="418">
        <f t="shared" si="1"/>
        <v>29.30193122939237</v>
      </c>
      <c r="K15" s="1">
        <v>58278</v>
      </c>
    </row>
    <row r="16" spans="1:11" ht="15" customHeight="1">
      <c r="A16" s="415">
        <v>14</v>
      </c>
      <c r="B16" s="416" t="s">
        <v>559</v>
      </c>
      <c r="C16" s="1">
        <v>1138</v>
      </c>
      <c r="D16" s="1">
        <v>0</v>
      </c>
      <c r="E16" s="418">
        <v>0.4146</v>
      </c>
      <c r="F16" s="1">
        <v>1123</v>
      </c>
      <c r="G16" s="1">
        <v>283</v>
      </c>
      <c r="H16" s="418">
        <f t="shared" si="0"/>
        <v>24.868189806678384</v>
      </c>
      <c r="I16" s="1">
        <v>439</v>
      </c>
      <c r="J16" s="418">
        <f t="shared" si="1"/>
        <v>38.576449912126535</v>
      </c>
      <c r="K16" s="419">
        <v>0</v>
      </c>
    </row>
    <row r="17" spans="1:11" ht="15" customHeight="1">
      <c r="A17" s="415">
        <v>15</v>
      </c>
      <c r="B17" s="416" t="s">
        <v>73</v>
      </c>
      <c r="C17" s="1">
        <v>72194</v>
      </c>
      <c r="D17" s="1">
        <v>574</v>
      </c>
      <c r="E17" s="418">
        <v>6.943896440999914</v>
      </c>
      <c r="F17" s="1">
        <v>72072</v>
      </c>
      <c r="G17" s="1">
        <v>33998</v>
      </c>
      <c r="H17" s="418">
        <f t="shared" si="0"/>
        <v>47.09255616810261</v>
      </c>
      <c r="I17" s="1">
        <v>23746</v>
      </c>
      <c r="J17" s="418">
        <f t="shared" si="1"/>
        <v>32.89193007729174</v>
      </c>
      <c r="K17" s="433">
        <v>45329</v>
      </c>
    </row>
    <row r="18" spans="1:11" ht="15" customHeight="1">
      <c r="A18" s="415">
        <v>16</v>
      </c>
      <c r="B18" s="416" t="s">
        <v>74</v>
      </c>
      <c r="C18" s="1">
        <v>182958</v>
      </c>
      <c r="D18" s="1">
        <v>0</v>
      </c>
      <c r="E18" s="418">
        <v>6.85</v>
      </c>
      <c r="F18" s="434">
        <v>182958</v>
      </c>
      <c r="G18" s="434">
        <v>94337</v>
      </c>
      <c r="H18" s="418">
        <f t="shared" si="0"/>
        <v>51.562107150274926</v>
      </c>
      <c r="I18" s="434">
        <v>83086</v>
      </c>
      <c r="J18" s="418">
        <f t="shared" si="1"/>
        <v>45.41260835820243</v>
      </c>
      <c r="K18" s="419">
        <v>182557</v>
      </c>
    </row>
    <row r="19" spans="1:11" ht="15" customHeight="1">
      <c r="A19" s="415">
        <v>17</v>
      </c>
      <c r="B19" s="416" t="s">
        <v>290</v>
      </c>
      <c r="C19" s="417">
        <v>53395</v>
      </c>
      <c r="D19" s="1">
        <v>2510</v>
      </c>
      <c r="E19" s="435">
        <v>6.41</v>
      </c>
      <c r="F19" s="1">
        <v>49599</v>
      </c>
      <c r="G19" s="1">
        <v>30175</v>
      </c>
      <c r="H19" s="418">
        <f t="shared" si="0"/>
        <v>56.512782095701844</v>
      </c>
      <c r="I19" s="1">
        <v>26421</v>
      </c>
      <c r="J19" s="418">
        <f t="shared" si="1"/>
        <v>49.48216125105347</v>
      </c>
      <c r="K19" s="419">
        <v>14557</v>
      </c>
    </row>
    <row r="20" spans="1:11" ht="15" customHeight="1">
      <c r="A20" s="415">
        <v>18</v>
      </c>
      <c r="B20" s="416" t="s">
        <v>64</v>
      </c>
      <c r="C20" s="1">
        <v>37385</v>
      </c>
      <c r="D20" s="1">
        <v>0</v>
      </c>
      <c r="E20" s="418">
        <v>3.03</v>
      </c>
      <c r="F20" s="1">
        <v>37013</v>
      </c>
      <c r="G20" s="1">
        <v>20972</v>
      </c>
      <c r="H20" s="418">
        <f t="shared" si="0"/>
        <v>56.0973652534439</v>
      </c>
      <c r="I20" s="1">
        <v>13179</v>
      </c>
      <c r="J20" s="418">
        <f t="shared" si="1"/>
        <v>35.252106459810086</v>
      </c>
      <c r="K20" s="419">
        <v>30512</v>
      </c>
    </row>
    <row r="21" spans="1:11" ht="15" customHeight="1">
      <c r="A21" s="415">
        <v>19</v>
      </c>
      <c r="B21" s="416" t="s">
        <v>65</v>
      </c>
      <c r="C21" s="436">
        <v>59207</v>
      </c>
      <c r="D21" s="1">
        <v>0</v>
      </c>
      <c r="E21" s="436">
        <v>7.71</v>
      </c>
      <c r="F21" s="1">
        <v>57779</v>
      </c>
      <c r="G21" s="436">
        <v>22811</v>
      </c>
      <c r="H21" s="418">
        <f t="shared" si="0"/>
        <v>38.52753897343219</v>
      </c>
      <c r="I21" s="436">
        <v>18965</v>
      </c>
      <c r="J21" s="418">
        <f t="shared" si="1"/>
        <v>32.031685442599695</v>
      </c>
      <c r="K21" s="436">
        <v>27802</v>
      </c>
    </row>
    <row r="22" spans="1:11" ht="15" customHeight="1">
      <c r="A22" s="415">
        <v>20</v>
      </c>
      <c r="B22" s="416" t="s">
        <v>305</v>
      </c>
      <c r="C22" s="1">
        <v>15452</v>
      </c>
      <c r="D22" s="1">
        <v>650</v>
      </c>
      <c r="E22" s="418">
        <v>1.31</v>
      </c>
      <c r="F22" s="1">
        <v>15117</v>
      </c>
      <c r="G22" s="1">
        <v>7307</v>
      </c>
      <c r="H22" s="418">
        <f t="shared" si="0"/>
        <v>47.28837690913797</v>
      </c>
      <c r="I22" s="1">
        <v>4871</v>
      </c>
      <c r="J22" s="418">
        <f t="shared" si="1"/>
        <v>31.523427388040382</v>
      </c>
      <c r="K22" s="419">
        <v>10769</v>
      </c>
    </row>
    <row r="23" spans="1:11" ht="15" customHeight="1">
      <c r="A23" s="415">
        <v>21</v>
      </c>
      <c r="B23" s="416" t="s">
        <v>482</v>
      </c>
      <c r="C23" s="437">
        <v>714639</v>
      </c>
      <c r="D23" s="438">
        <v>683</v>
      </c>
      <c r="E23" s="435">
        <v>65.94</v>
      </c>
      <c r="F23" s="437">
        <v>504592</v>
      </c>
      <c r="G23" s="437">
        <v>408886</v>
      </c>
      <c r="H23" s="435">
        <f t="shared" si="0"/>
        <v>57.215741094454685</v>
      </c>
      <c r="I23" s="437">
        <v>315130</v>
      </c>
      <c r="J23" s="435">
        <f t="shared" si="1"/>
        <v>44.09638992554283</v>
      </c>
      <c r="K23" s="439">
        <v>13940</v>
      </c>
    </row>
    <row r="24" spans="1:11" ht="15" customHeight="1">
      <c r="A24" s="415">
        <v>22</v>
      </c>
      <c r="B24" s="416" t="s">
        <v>54</v>
      </c>
      <c r="C24" s="440">
        <v>1136879</v>
      </c>
      <c r="D24" s="440">
        <v>132561</v>
      </c>
      <c r="E24" s="440">
        <v>84.56</v>
      </c>
      <c r="F24" s="440">
        <v>1055813</v>
      </c>
      <c r="G24" s="440">
        <v>221318</v>
      </c>
      <c r="H24" s="418">
        <f>G24/C24*100</f>
        <v>19.467155255748413</v>
      </c>
      <c r="I24" s="440">
        <v>203152</v>
      </c>
      <c r="J24" s="418">
        <f>I24/C24*100</f>
        <v>17.869271927795303</v>
      </c>
      <c r="K24" s="440">
        <v>10276</v>
      </c>
    </row>
    <row r="25" spans="1:11" ht="15" customHeight="1">
      <c r="A25" s="415">
        <v>23</v>
      </c>
      <c r="B25" s="416" t="s">
        <v>84</v>
      </c>
      <c r="C25" s="1">
        <v>129260</v>
      </c>
      <c r="D25" s="417">
        <v>10252</v>
      </c>
      <c r="E25" s="1">
        <v>0.0008</v>
      </c>
      <c r="F25" s="1">
        <v>124673</v>
      </c>
      <c r="G25" s="1">
        <v>77110</v>
      </c>
      <c r="H25" s="418">
        <f>G25/C25*100</f>
        <v>59.65495899736965</v>
      </c>
      <c r="I25" s="1">
        <v>18876</v>
      </c>
      <c r="J25" s="418">
        <f t="shared" si="1"/>
        <v>14.603125483521584</v>
      </c>
      <c r="K25" s="1">
        <v>28370</v>
      </c>
    </row>
    <row r="26" spans="1:11" ht="15" customHeight="1">
      <c r="A26" s="415">
        <v>24</v>
      </c>
      <c r="B26" s="416" t="s">
        <v>292</v>
      </c>
      <c r="C26" s="417">
        <v>39420</v>
      </c>
      <c r="D26" s="417">
        <v>2029</v>
      </c>
      <c r="E26" s="418">
        <v>9.96</v>
      </c>
      <c r="F26" s="1">
        <v>35624</v>
      </c>
      <c r="G26" s="1">
        <v>27343</v>
      </c>
      <c r="H26" s="418">
        <f t="shared" si="0"/>
        <v>69.36326737696601</v>
      </c>
      <c r="I26" s="1">
        <v>66</v>
      </c>
      <c r="J26" s="418">
        <f t="shared" si="1"/>
        <v>0.167427701674277</v>
      </c>
      <c r="K26" s="419">
        <v>29426</v>
      </c>
    </row>
    <row r="27" spans="1:11" ht="15" customHeight="1">
      <c r="A27" s="415">
        <v>25</v>
      </c>
      <c r="B27" s="416" t="s">
        <v>66</v>
      </c>
      <c r="C27" s="1">
        <v>944450</v>
      </c>
      <c r="D27" s="1">
        <v>55907</v>
      </c>
      <c r="E27" s="1">
        <v>76.01</v>
      </c>
      <c r="F27" s="1">
        <v>659937</v>
      </c>
      <c r="G27" s="1">
        <v>586265</v>
      </c>
      <c r="H27" s="418">
        <f>G27/C27*100</f>
        <v>62.074752501455876</v>
      </c>
      <c r="I27" s="1">
        <v>45061</v>
      </c>
      <c r="J27" s="418">
        <f t="shared" si="1"/>
        <v>4.771136640372704</v>
      </c>
      <c r="K27" s="1">
        <v>528831</v>
      </c>
    </row>
    <row r="28" spans="1:11" ht="15" customHeight="1">
      <c r="A28" s="415">
        <v>26</v>
      </c>
      <c r="B28" s="416" t="s">
        <v>560</v>
      </c>
      <c r="C28" s="1">
        <v>7385</v>
      </c>
      <c r="D28" s="1">
        <v>0</v>
      </c>
      <c r="E28" s="418">
        <v>1.72</v>
      </c>
      <c r="F28" s="1">
        <v>6903</v>
      </c>
      <c r="G28" s="1">
        <v>6818</v>
      </c>
      <c r="H28" s="418">
        <f t="shared" si="0"/>
        <v>92.32227488151659</v>
      </c>
      <c r="I28" s="1">
        <v>3049</v>
      </c>
      <c r="J28" s="418">
        <f t="shared" si="1"/>
        <v>41.2863913337847</v>
      </c>
      <c r="K28" s="419">
        <v>6903</v>
      </c>
    </row>
    <row r="29" spans="1:11" ht="15" customHeight="1">
      <c r="A29" s="415">
        <v>27</v>
      </c>
      <c r="B29" s="416" t="s">
        <v>561</v>
      </c>
      <c r="C29" s="441">
        <v>567</v>
      </c>
      <c r="D29" s="441">
        <v>67</v>
      </c>
      <c r="E29" s="442">
        <v>0.13</v>
      </c>
      <c r="F29" s="441">
        <v>329</v>
      </c>
      <c r="G29" s="441">
        <v>244</v>
      </c>
      <c r="H29" s="418">
        <f t="shared" si="0"/>
        <v>43.03350970017637</v>
      </c>
      <c r="I29" s="441">
        <v>38</v>
      </c>
      <c r="J29" s="418">
        <f t="shared" si="1"/>
        <v>6.701940035273369</v>
      </c>
      <c r="K29" s="443">
        <v>244</v>
      </c>
    </row>
    <row r="30" spans="1:11" ht="15" customHeight="1">
      <c r="A30" s="415">
        <v>28</v>
      </c>
      <c r="B30" s="416" t="s">
        <v>72</v>
      </c>
      <c r="C30" s="444">
        <v>7840452</v>
      </c>
      <c r="D30" s="444">
        <v>1665890</v>
      </c>
      <c r="E30" s="445">
        <v>402.16</v>
      </c>
      <c r="F30" s="444">
        <v>5702182</v>
      </c>
      <c r="G30" s="444">
        <v>3827418</v>
      </c>
      <c r="H30" s="418">
        <f>G30/C30*100</f>
        <v>48.81629273414339</v>
      </c>
      <c r="I30" s="444">
        <v>3391438</v>
      </c>
      <c r="J30" s="418">
        <f t="shared" si="1"/>
        <v>43.25564393481397</v>
      </c>
      <c r="K30" s="446">
        <v>3492880</v>
      </c>
    </row>
    <row r="31" spans="1:11" ht="15" customHeight="1">
      <c r="A31" s="415">
        <v>29</v>
      </c>
      <c r="B31" s="447" t="s">
        <v>67</v>
      </c>
      <c r="C31" s="1">
        <v>86078</v>
      </c>
      <c r="D31" s="1">
        <v>13930</v>
      </c>
      <c r="E31" s="418">
        <v>40.11</v>
      </c>
      <c r="F31" s="1">
        <v>73552</v>
      </c>
      <c r="G31" s="1">
        <v>51821</v>
      </c>
      <c r="H31" s="418">
        <f t="shared" si="0"/>
        <v>60.20237459048769</v>
      </c>
      <c r="I31" s="1">
        <v>20443</v>
      </c>
      <c r="J31" s="418">
        <f t="shared" si="1"/>
        <v>23.749390088059666</v>
      </c>
      <c r="K31" s="419">
        <v>50205</v>
      </c>
    </row>
    <row r="32" spans="1:11" ht="15" customHeight="1">
      <c r="A32" s="415">
        <v>30</v>
      </c>
      <c r="B32" s="447" t="s">
        <v>82</v>
      </c>
      <c r="C32" s="1">
        <v>486800</v>
      </c>
      <c r="D32" s="1">
        <v>41502</v>
      </c>
      <c r="E32" s="418">
        <v>130.1</v>
      </c>
      <c r="F32" s="1">
        <v>302300</v>
      </c>
      <c r="G32" s="1">
        <v>295400</v>
      </c>
      <c r="H32" s="418">
        <f t="shared" si="0"/>
        <v>60.68200493015612</v>
      </c>
      <c r="I32" s="1">
        <v>3401</v>
      </c>
      <c r="J32" s="418">
        <f t="shared" si="1"/>
        <v>0.6986442070665572</v>
      </c>
      <c r="K32" s="419">
        <v>320300</v>
      </c>
    </row>
    <row r="33" spans="1:11" ht="15" customHeight="1">
      <c r="A33" s="415">
        <v>31</v>
      </c>
      <c r="B33" s="447" t="s">
        <v>68</v>
      </c>
      <c r="C33" s="420">
        <v>687126</v>
      </c>
      <c r="D33" s="448">
        <v>96489</v>
      </c>
      <c r="E33" s="449">
        <v>89.13</v>
      </c>
      <c r="F33" s="420">
        <v>650009</v>
      </c>
      <c r="G33" s="420">
        <v>313708</v>
      </c>
      <c r="H33" s="418">
        <f t="shared" si="0"/>
        <v>45.65509091491226</v>
      </c>
      <c r="I33" s="420">
        <v>111048</v>
      </c>
      <c r="J33" s="418">
        <f t="shared" si="1"/>
        <v>16.161228071707374</v>
      </c>
      <c r="K33" s="419">
        <v>322601</v>
      </c>
    </row>
    <row r="34" spans="1:11" ht="15" customHeight="1">
      <c r="A34" s="415">
        <v>32</v>
      </c>
      <c r="B34" s="447" t="s">
        <v>69</v>
      </c>
      <c r="C34" s="1"/>
      <c r="D34" s="1">
        <v>0</v>
      </c>
      <c r="E34" s="418"/>
      <c r="F34" s="1"/>
      <c r="G34" s="1"/>
      <c r="H34" s="418">
        <v>0</v>
      </c>
      <c r="I34" s="1"/>
      <c r="J34" s="418"/>
      <c r="K34" s="419"/>
    </row>
    <row r="35" spans="1:11" ht="15" customHeight="1">
      <c r="A35" s="415">
        <v>33</v>
      </c>
      <c r="B35" s="416" t="s">
        <v>52</v>
      </c>
      <c r="C35" s="1">
        <v>47716</v>
      </c>
      <c r="D35" s="1">
        <v>2224</v>
      </c>
      <c r="E35" s="418">
        <v>3.02</v>
      </c>
      <c r="F35" s="1">
        <v>36849</v>
      </c>
      <c r="G35" s="1">
        <v>33770</v>
      </c>
      <c r="H35" s="418">
        <f t="shared" si="0"/>
        <v>70.77290636264564</v>
      </c>
      <c r="I35" s="1">
        <v>2189</v>
      </c>
      <c r="J35" s="418">
        <f t="shared" si="1"/>
        <v>4.587559728392992</v>
      </c>
      <c r="K35" s="419">
        <v>32484</v>
      </c>
    </row>
    <row r="36" spans="1:11" ht="15" customHeight="1">
      <c r="A36" s="415"/>
      <c r="B36" s="416" t="s">
        <v>1</v>
      </c>
      <c r="C36" s="421">
        <f>SUM(C3:C35)</f>
        <v>19136754</v>
      </c>
      <c r="D36" s="421">
        <f>SUM(D3:D35)</f>
        <v>2566660</v>
      </c>
      <c r="E36" s="450">
        <f>SUM(E3:E35)</f>
        <v>1720.6198964409996</v>
      </c>
      <c r="F36" s="421">
        <f>SUM(F3:F35)</f>
        <v>15462621</v>
      </c>
      <c r="G36" s="421">
        <f>SUM(G3:G35)</f>
        <v>9669107</v>
      </c>
      <c r="H36" s="418">
        <f>G36/C36*100</f>
        <v>50.52636931007213</v>
      </c>
      <c r="I36" s="421">
        <f>SUM(I3:I35)</f>
        <v>5206424</v>
      </c>
      <c r="J36" s="450">
        <f>I36/C36*100</f>
        <v>27.20641128584294</v>
      </c>
      <c r="K36" s="451">
        <f>SUM(K3:K35)</f>
        <v>8761515</v>
      </c>
    </row>
    <row r="37" spans="3:11" ht="15">
      <c r="C37" s="453"/>
      <c r="D37" s="453"/>
      <c r="E37" s="454"/>
      <c r="F37" s="453"/>
      <c r="G37" s="453"/>
      <c r="H37" s="425"/>
      <c r="I37" s="453"/>
      <c r="J37" s="454"/>
      <c r="K37" s="453"/>
    </row>
    <row r="44" spans="5:11" ht="12.75">
      <c r="E44" s="409"/>
      <c r="K44" s="409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9" sqref="I9"/>
    </sheetView>
  </sheetViews>
  <sheetFormatPr defaultColWidth="9.140625" defaultRowHeight="12.75"/>
  <cols>
    <col min="1" max="1" width="5.421875" style="493" customWidth="1"/>
    <col min="2" max="2" width="21.57421875" style="3" customWidth="1"/>
    <col min="3" max="3" width="20.00390625" style="3" customWidth="1"/>
    <col min="4" max="4" width="20.421875" style="3" customWidth="1"/>
    <col min="5" max="5" width="20.140625" style="3" customWidth="1"/>
    <col min="6" max="6" width="10.140625" style="495" bestFit="1" customWidth="1"/>
    <col min="7" max="7" width="13.28125" style="3" customWidth="1"/>
    <col min="8" max="16384" width="9.140625" style="3" customWidth="1"/>
  </cols>
  <sheetData>
    <row r="1" spans="1:7" ht="15">
      <c r="A1" s="699" t="s">
        <v>563</v>
      </c>
      <c r="B1" s="700"/>
      <c r="C1" s="700"/>
      <c r="D1" s="700"/>
      <c r="E1" s="700"/>
      <c r="F1" s="700"/>
      <c r="G1" s="700"/>
    </row>
    <row r="2" spans="1:7" ht="17.25" customHeight="1">
      <c r="A2" s="701" t="s">
        <v>581</v>
      </c>
      <c r="B2" s="702"/>
      <c r="C2" s="702"/>
      <c r="D2" s="702"/>
      <c r="E2" s="702"/>
      <c r="F2" s="702"/>
      <c r="G2" s="702"/>
    </row>
    <row r="3" spans="1:6" ht="28.5">
      <c r="A3" s="455" t="s">
        <v>272</v>
      </c>
      <c r="B3" s="455" t="s">
        <v>564</v>
      </c>
      <c r="C3" s="456" t="s">
        <v>565</v>
      </c>
      <c r="D3" s="456" t="s">
        <v>566</v>
      </c>
      <c r="E3" s="456" t="s">
        <v>567</v>
      </c>
      <c r="F3" s="457" t="s">
        <v>0</v>
      </c>
    </row>
    <row r="4" spans="1:17" ht="15">
      <c r="A4" s="458">
        <v>1</v>
      </c>
      <c r="B4" s="459" t="s">
        <v>57</v>
      </c>
      <c r="C4" s="460">
        <v>39703</v>
      </c>
      <c r="D4" s="460">
        <v>184079</v>
      </c>
      <c r="E4" s="460">
        <v>7776</v>
      </c>
      <c r="F4" s="461">
        <f>E4+D4+C4</f>
        <v>231558</v>
      </c>
      <c r="G4" s="462"/>
      <c r="H4" s="462"/>
      <c r="I4" s="462"/>
      <c r="J4" s="462"/>
      <c r="K4" s="462"/>
      <c r="L4" s="463"/>
      <c r="M4" s="462"/>
      <c r="N4" s="462"/>
      <c r="O4" s="462"/>
      <c r="P4" s="462"/>
      <c r="Q4" s="462"/>
    </row>
    <row r="5" spans="1:17" ht="15">
      <c r="A5" s="458">
        <v>2</v>
      </c>
      <c r="B5" s="459" t="s">
        <v>58</v>
      </c>
      <c r="C5" s="460">
        <v>6644</v>
      </c>
      <c r="D5" s="460">
        <v>31277</v>
      </c>
      <c r="E5" s="460">
        <v>1375</v>
      </c>
      <c r="F5" s="461">
        <f aca="true" t="shared" si="0" ref="F5:F29">E5+D5+C5</f>
        <v>39296</v>
      </c>
      <c r="G5" s="464"/>
      <c r="H5" s="465"/>
      <c r="I5" s="465"/>
      <c r="J5" s="465"/>
      <c r="K5" s="466"/>
      <c r="L5" s="463"/>
      <c r="M5" s="462"/>
      <c r="N5" s="462"/>
      <c r="O5" s="462"/>
      <c r="P5" s="462"/>
      <c r="Q5" s="462"/>
    </row>
    <row r="6" spans="1:17" ht="15">
      <c r="A6" s="458">
        <v>3</v>
      </c>
      <c r="B6" s="459" t="s">
        <v>59</v>
      </c>
      <c r="C6" s="460">
        <v>67806</v>
      </c>
      <c r="D6" s="460">
        <v>156212</v>
      </c>
      <c r="E6" s="460">
        <v>4698</v>
      </c>
      <c r="F6" s="461">
        <f t="shared" si="0"/>
        <v>228716</v>
      </c>
      <c r="G6" s="462"/>
      <c r="H6" s="462"/>
      <c r="I6" s="462"/>
      <c r="J6" s="462"/>
      <c r="K6" s="462"/>
      <c r="L6" s="463"/>
      <c r="M6" s="462"/>
      <c r="N6" s="462"/>
      <c r="O6" s="462"/>
      <c r="P6" s="462"/>
      <c r="Q6" s="462"/>
    </row>
    <row r="7" spans="1:17" ht="15.75">
      <c r="A7" s="458">
        <v>4</v>
      </c>
      <c r="B7" s="459" t="s">
        <v>60</v>
      </c>
      <c r="C7" s="467">
        <v>272286</v>
      </c>
      <c r="D7" s="468">
        <v>972788</v>
      </c>
      <c r="E7" s="468">
        <v>13731</v>
      </c>
      <c r="F7" s="461">
        <f t="shared" si="0"/>
        <v>1258805</v>
      </c>
      <c r="G7" s="469"/>
      <c r="H7" s="462"/>
      <c r="I7" s="462"/>
      <c r="J7" s="462"/>
      <c r="K7" s="463"/>
      <c r="L7" s="463"/>
      <c r="M7" s="462"/>
      <c r="N7" s="462"/>
      <c r="O7" s="462"/>
      <c r="P7" s="462"/>
      <c r="Q7" s="462"/>
    </row>
    <row r="8" spans="1:17" ht="15.75">
      <c r="A8" s="458">
        <v>5</v>
      </c>
      <c r="B8" s="459" t="s">
        <v>61</v>
      </c>
      <c r="C8" s="460">
        <v>106448</v>
      </c>
      <c r="D8" s="460">
        <v>254830</v>
      </c>
      <c r="E8" s="460">
        <v>3025</v>
      </c>
      <c r="F8" s="461">
        <f t="shared" si="0"/>
        <v>364303</v>
      </c>
      <c r="G8" s="470"/>
      <c r="H8" s="471"/>
      <c r="I8" s="462"/>
      <c r="J8" s="462"/>
      <c r="K8" s="463"/>
      <c r="L8" s="463"/>
      <c r="M8" s="462"/>
      <c r="N8" s="462"/>
      <c r="O8" s="462"/>
      <c r="P8" s="462"/>
      <c r="Q8" s="462"/>
    </row>
    <row r="9" spans="1:17" ht="15.75" customHeight="1">
      <c r="A9" s="458">
        <v>6</v>
      </c>
      <c r="B9" s="459" t="s">
        <v>62</v>
      </c>
      <c r="C9" s="460">
        <v>37328</v>
      </c>
      <c r="D9" s="460">
        <v>87165</v>
      </c>
      <c r="E9" s="460">
        <v>1703</v>
      </c>
      <c r="F9" s="461">
        <f t="shared" si="0"/>
        <v>126196</v>
      </c>
      <c r="G9" s="470"/>
      <c r="H9" s="470"/>
      <c r="I9" s="462"/>
      <c r="J9" s="462"/>
      <c r="K9" s="462"/>
      <c r="L9" s="463"/>
      <c r="M9" s="462"/>
      <c r="N9" s="462"/>
      <c r="O9" s="462"/>
      <c r="P9" s="462"/>
      <c r="Q9" s="462"/>
    </row>
    <row r="10" spans="1:17" ht="15.75">
      <c r="A10" s="458">
        <v>7</v>
      </c>
      <c r="B10" s="459" t="s">
        <v>63</v>
      </c>
      <c r="C10" s="472">
        <v>272113</v>
      </c>
      <c r="D10" s="472">
        <v>729951</v>
      </c>
      <c r="E10" s="472">
        <v>8620</v>
      </c>
      <c r="F10" s="461">
        <f t="shared" si="0"/>
        <v>1010684</v>
      </c>
      <c r="G10" s="470"/>
      <c r="H10" s="473"/>
      <c r="I10" s="473"/>
      <c r="J10" s="473"/>
      <c r="K10" s="462"/>
      <c r="L10" s="463"/>
      <c r="M10" s="462"/>
      <c r="N10" s="462"/>
      <c r="O10" s="462"/>
      <c r="P10" s="462"/>
      <c r="Q10" s="462"/>
    </row>
    <row r="11" spans="1:17" ht="15">
      <c r="A11" s="458">
        <v>8</v>
      </c>
      <c r="B11" s="459" t="s">
        <v>50</v>
      </c>
      <c r="C11" s="460">
        <v>14912</v>
      </c>
      <c r="D11" s="460">
        <v>36986</v>
      </c>
      <c r="E11" s="460">
        <v>165</v>
      </c>
      <c r="F11" s="461">
        <f t="shared" si="0"/>
        <v>52063</v>
      </c>
      <c r="G11" s="469"/>
      <c r="H11" s="462"/>
      <c r="I11" s="462"/>
      <c r="J11" s="462"/>
      <c r="K11" s="463"/>
      <c r="L11" s="463"/>
      <c r="M11" s="462"/>
      <c r="N11" s="462"/>
      <c r="O11" s="462"/>
      <c r="P11" s="462"/>
      <c r="Q11" s="462"/>
    </row>
    <row r="12" spans="1:17" ht="15">
      <c r="A12" s="458">
        <v>9</v>
      </c>
      <c r="B12" s="459" t="s">
        <v>51</v>
      </c>
      <c r="C12" s="460">
        <v>215</v>
      </c>
      <c r="D12" s="460">
        <v>248</v>
      </c>
      <c r="E12" s="460">
        <v>124</v>
      </c>
      <c r="F12" s="461">
        <f t="shared" si="0"/>
        <v>587</v>
      </c>
      <c r="G12" s="462"/>
      <c r="H12" s="462"/>
      <c r="I12" s="462"/>
      <c r="J12" s="462"/>
      <c r="K12" s="462"/>
      <c r="L12" s="463"/>
      <c r="M12" s="462"/>
      <c r="N12" s="462"/>
      <c r="O12" s="462"/>
      <c r="P12" s="462"/>
      <c r="Q12" s="462"/>
    </row>
    <row r="13" spans="1:17" ht="15">
      <c r="A13" s="458">
        <v>10</v>
      </c>
      <c r="B13" s="459" t="s">
        <v>568</v>
      </c>
      <c r="C13" s="460">
        <v>18916</v>
      </c>
      <c r="D13" s="460">
        <v>46140</v>
      </c>
      <c r="E13" s="460">
        <v>1917</v>
      </c>
      <c r="F13" s="461">
        <f t="shared" si="0"/>
        <v>66973</v>
      </c>
      <c r="G13" s="462"/>
      <c r="H13" s="462"/>
      <c r="I13" s="462"/>
      <c r="J13" s="462"/>
      <c r="K13" s="462"/>
      <c r="L13" s="463"/>
      <c r="M13" s="462"/>
      <c r="N13" s="462"/>
      <c r="O13" s="462"/>
      <c r="P13" s="462"/>
      <c r="Q13" s="462"/>
    </row>
    <row r="14" spans="1:17" ht="15.75" customHeight="1">
      <c r="A14" s="458">
        <v>11</v>
      </c>
      <c r="B14" s="459" t="s">
        <v>64</v>
      </c>
      <c r="C14" s="460">
        <v>6186</v>
      </c>
      <c r="D14" s="460">
        <v>15665</v>
      </c>
      <c r="E14" s="460">
        <v>925</v>
      </c>
      <c r="F14" s="461">
        <f t="shared" si="0"/>
        <v>22776</v>
      </c>
      <c r="G14" s="469"/>
      <c r="H14" s="462"/>
      <c r="I14" s="462"/>
      <c r="J14" s="462"/>
      <c r="K14" s="474"/>
      <c r="L14" s="463"/>
      <c r="M14" s="462"/>
      <c r="N14" s="462"/>
      <c r="O14" s="462"/>
      <c r="P14" s="462"/>
      <c r="Q14" s="462"/>
    </row>
    <row r="15" spans="1:17" ht="15">
      <c r="A15" s="458">
        <v>12</v>
      </c>
      <c r="B15" s="459" t="s">
        <v>65</v>
      </c>
      <c r="C15" s="475">
        <v>10259</v>
      </c>
      <c r="D15" s="475">
        <v>35285</v>
      </c>
      <c r="E15" s="475">
        <v>285</v>
      </c>
      <c r="F15" s="461">
        <f t="shared" si="0"/>
        <v>45829</v>
      </c>
      <c r="G15" s="462"/>
      <c r="H15" s="462"/>
      <c r="I15" s="462"/>
      <c r="J15" s="462"/>
      <c r="K15" s="462"/>
      <c r="L15" s="463"/>
      <c r="M15" s="462"/>
      <c r="N15" s="462"/>
      <c r="O15" s="462"/>
      <c r="P15" s="462"/>
      <c r="Q15" s="462"/>
    </row>
    <row r="16" spans="1:17" ht="15">
      <c r="A16" s="458">
        <v>13</v>
      </c>
      <c r="B16" s="459" t="s">
        <v>569</v>
      </c>
      <c r="C16" s="460">
        <v>21021</v>
      </c>
      <c r="D16" s="460">
        <v>116760</v>
      </c>
      <c r="E16" s="460">
        <v>646</v>
      </c>
      <c r="F16" s="461">
        <f t="shared" si="0"/>
        <v>138427</v>
      </c>
      <c r="G16" s="462"/>
      <c r="H16" s="462"/>
      <c r="I16" s="462"/>
      <c r="J16" s="462"/>
      <c r="K16" s="462"/>
      <c r="L16" s="463"/>
      <c r="M16" s="462"/>
      <c r="N16" s="462"/>
      <c r="O16" s="462"/>
      <c r="P16" s="462"/>
      <c r="Q16" s="462"/>
    </row>
    <row r="17" spans="1:17" ht="15">
      <c r="A17" s="458">
        <v>14</v>
      </c>
      <c r="B17" s="459" t="s">
        <v>85</v>
      </c>
      <c r="C17" s="460">
        <v>7646</v>
      </c>
      <c r="D17" s="460">
        <v>21959</v>
      </c>
      <c r="E17" s="460">
        <v>534</v>
      </c>
      <c r="F17" s="461">
        <f t="shared" si="0"/>
        <v>30139</v>
      </c>
      <c r="G17" s="462"/>
      <c r="H17" s="462"/>
      <c r="I17" s="462"/>
      <c r="J17" s="462"/>
      <c r="K17" s="462"/>
      <c r="L17" s="463"/>
      <c r="M17" s="462"/>
      <c r="N17" s="462"/>
      <c r="O17" s="462"/>
      <c r="P17" s="462"/>
      <c r="Q17" s="462"/>
    </row>
    <row r="18" spans="1:17" ht="15">
      <c r="A18" s="458">
        <v>15</v>
      </c>
      <c r="B18" s="459" t="s">
        <v>66</v>
      </c>
      <c r="C18" s="475">
        <v>64458</v>
      </c>
      <c r="D18" s="475">
        <v>420646</v>
      </c>
      <c r="E18" s="475">
        <v>10274</v>
      </c>
      <c r="F18" s="461">
        <f t="shared" si="0"/>
        <v>495378</v>
      </c>
      <c r="G18" s="476"/>
      <c r="H18" s="462"/>
      <c r="I18" s="462"/>
      <c r="J18" s="462"/>
      <c r="K18" s="462"/>
      <c r="L18" s="463"/>
      <c r="M18" s="462"/>
      <c r="N18" s="462"/>
      <c r="O18" s="462"/>
      <c r="P18" s="462"/>
      <c r="Q18" s="462"/>
    </row>
    <row r="19" spans="1:17" ht="15">
      <c r="A19" s="458">
        <v>16</v>
      </c>
      <c r="B19" s="459" t="s">
        <v>67</v>
      </c>
      <c r="C19" s="460">
        <v>21145</v>
      </c>
      <c r="D19" s="460">
        <v>54329</v>
      </c>
      <c r="E19" s="460">
        <v>1223</v>
      </c>
      <c r="F19" s="461">
        <f t="shared" si="0"/>
        <v>76697</v>
      </c>
      <c r="G19" s="476"/>
      <c r="H19" s="462"/>
      <c r="I19" s="462"/>
      <c r="J19" s="462"/>
      <c r="K19" s="462"/>
      <c r="L19" s="474"/>
      <c r="M19" s="462"/>
      <c r="N19" s="462"/>
      <c r="O19" s="462"/>
      <c r="P19" s="462"/>
      <c r="Q19" s="462"/>
    </row>
    <row r="20" spans="1:17" ht="15">
      <c r="A20" s="458">
        <v>17</v>
      </c>
      <c r="B20" s="459" t="s">
        <v>82</v>
      </c>
      <c r="C20" s="460">
        <v>64373</v>
      </c>
      <c r="D20" s="460">
        <v>151118</v>
      </c>
      <c r="E20" s="460">
        <v>1764</v>
      </c>
      <c r="F20" s="461">
        <f t="shared" si="0"/>
        <v>217255</v>
      </c>
      <c r="G20" s="476"/>
      <c r="H20" s="462"/>
      <c r="I20" s="462"/>
      <c r="J20" s="462"/>
      <c r="K20" s="462"/>
      <c r="L20" s="463"/>
      <c r="M20" s="462"/>
      <c r="N20" s="462"/>
      <c r="O20" s="462"/>
      <c r="P20" s="462"/>
      <c r="Q20" s="462"/>
    </row>
    <row r="21" spans="1:17" ht="15">
      <c r="A21" s="458">
        <v>18</v>
      </c>
      <c r="B21" s="459" t="s">
        <v>68</v>
      </c>
      <c r="C21" s="460">
        <v>94511</v>
      </c>
      <c r="D21" s="460">
        <v>332539</v>
      </c>
      <c r="E21" s="460">
        <v>3255</v>
      </c>
      <c r="F21" s="461">
        <f t="shared" si="0"/>
        <v>430305</v>
      </c>
      <c r="G21" s="469"/>
      <c r="H21" s="462"/>
      <c r="I21" s="462"/>
      <c r="J21" s="462"/>
      <c r="K21" s="463"/>
      <c r="L21" s="463"/>
      <c r="M21" s="462"/>
      <c r="N21" s="462"/>
      <c r="O21" s="462"/>
      <c r="P21" s="462"/>
      <c r="Q21" s="462"/>
    </row>
    <row r="22" spans="1:17" ht="15">
      <c r="A22" s="458">
        <v>19</v>
      </c>
      <c r="B22" s="459" t="s">
        <v>69</v>
      </c>
      <c r="C22" s="460">
        <v>4451</v>
      </c>
      <c r="D22" s="460">
        <v>12079</v>
      </c>
      <c r="E22" s="460">
        <v>0</v>
      </c>
      <c r="F22" s="461">
        <f t="shared" si="0"/>
        <v>16530</v>
      </c>
      <c r="G22" s="462"/>
      <c r="H22" s="462"/>
      <c r="I22" s="462"/>
      <c r="J22" s="462"/>
      <c r="K22" s="462"/>
      <c r="L22" s="463"/>
      <c r="M22" s="462"/>
      <c r="N22" s="462"/>
      <c r="O22" s="462"/>
      <c r="P22" s="462"/>
      <c r="Q22" s="462"/>
    </row>
    <row r="23" spans="1:17" ht="15">
      <c r="A23" s="458">
        <v>20</v>
      </c>
      <c r="B23" s="459" t="s">
        <v>52</v>
      </c>
      <c r="C23" s="460">
        <v>11485</v>
      </c>
      <c r="D23" s="460">
        <v>52671</v>
      </c>
      <c r="E23" s="460">
        <v>983</v>
      </c>
      <c r="F23" s="461">
        <f t="shared" si="0"/>
        <v>65139</v>
      </c>
      <c r="G23" s="462"/>
      <c r="H23" s="462"/>
      <c r="I23" s="462"/>
      <c r="J23" s="478"/>
      <c r="K23" s="462"/>
      <c r="L23" s="463"/>
      <c r="M23" s="462"/>
      <c r="N23" s="462"/>
      <c r="O23" s="462"/>
      <c r="P23" s="462"/>
      <c r="Q23" s="462"/>
    </row>
    <row r="24" spans="1:17" ht="15">
      <c r="A24" s="458">
        <v>21</v>
      </c>
      <c r="B24" s="459" t="s">
        <v>71</v>
      </c>
      <c r="C24" s="460">
        <v>490</v>
      </c>
      <c r="D24" s="460">
        <v>3048</v>
      </c>
      <c r="E24" s="460">
        <v>48</v>
      </c>
      <c r="F24" s="461">
        <f t="shared" si="0"/>
        <v>3586</v>
      </c>
      <c r="G24" s="462"/>
      <c r="H24" s="462"/>
      <c r="I24" s="462"/>
      <c r="J24" s="462"/>
      <c r="K24" s="462"/>
      <c r="L24" s="463"/>
      <c r="M24" s="462"/>
      <c r="N24" s="462"/>
      <c r="O24" s="462"/>
      <c r="P24" s="462"/>
      <c r="Q24" s="462"/>
    </row>
    <row r="25" spans="1:17" ht="15">
      <c r="A25" s="458">
        <v>22</v>
      </c>
      <c r="B25" s="459" t="s">
        <v>249</v>
      </c>
      <c r="C25" s="460">
        <v>51</v>
      </c>
      <c r="D25" s="460">
        <v>145</v>
      </c>
      <c r="E25" s="460">
        <v>0</v>
      </c>
      <c r="F25" s="461">
        <f t="shared" si="0"/>
        <v>196</v>
      </c>
      <c r="G25" s="462"/>
      <c r="H25" s="462"/>
      <c r="I25" s="462"/>
      <c r="J25" s="462"/>
      <c r="K25" s="462"/>
      <c r="L25" s="463"/>
      <c r="M25" s="462"/>
      <c r="N25" s="462"/>
      <c r="O25" s="462"/>
      <c r="P25" s="462"/>
      <c r="Q25" s="462"/>
    </row>
    <row r="26" spans="1:17" ht="15">
      <c r="A26" s="458">
        <v>23</v>
      </c>
      <c r="B26" s="459" t="s">
        <v>250</v>
      </c>
      <c r="C26" s="460">
        <v>1509</v>
      </c>
      <c r="D26" s="460">
        <v>5805</v>
      </c>
      <c r="E26" s="460">
        <v>18</v>
      </c>
      <c r="F26" s="461">
        <f t="shared" si="0"/>
        <v>7332</v>
      </c>
      <c r="G26" s="462"/>
      <c r="H26" s="462"/>
      <c r="I26" s="462"/>
      <c r="J26" s="462"/>
      <c r="K26" s="462"/>
      <c r="L26" s="463"/>
      <c r="M26" s="462"/>
      <c r="N26" s="462"/>
      <c r="O26" s="462"/>
      <c r="P26" s="462"/>
      <c r="Q26" s="462"/>
    </row>
    <row r="27" spans="1:17" ht="15">
      <c r="A27" s="458">
        <v>24</v>
      </c>
      <c r="B27" s="459" t="s">
        <v>251</v>
      </c>
      <c r="C27" s="479">
        <v>783</v>
      </c>
      <c r="D27" s="479">
        <v>358</v>
      </c>
      <c r="E27" s="479">
        <v>9</v>
      </c>
      <c r="F27" s="461">
        <f t="shared" si="0"/>
        <v>1150</v>
      </c>
      <c r="G27" s="462"/>
      <c r="H27" s="462"/>
      <c r="I27" s="462"/>
      <c r="J27" s="462"/>
      <c r="K27" s="462"/>
      <c r="L27" s="463"/>
      <c r="M27" s="462"/>
      <c r="N27" s="462"/>
      <c r="O27" s="462"/>
      <c r="P27" s="462"/>
      <c r="Q27" s="462"/>
    </row>
    <row r="28" spans="1:17" ht="15">
      <c r="A28" s="458">
        <v>25</v>
      </c>
      <c r="B28" s="459" t="s">
        <v>252</v>
      </c>
      <c r="C28" s="460">
        <v>1197</v>
      </c>
      <c r="D28" s="460">
        <v>4722</v>
      </c>
      <c r="E28" s="460">
        <v>159</v>
      </c>
      <c r="F28" s="461">
        <f t="shared" si="0"/>
        <v>6078</v>
      </c>
      <c r="G28" s="462"/>
      <c r="H28" s="462"/>
      <c r="I28" s="462"/>
      <c r="J28" s="462"/>
      <c r="K28" s="462"/>
      <c r="L28" s="463"/>
      <c r="M28" s="462"/>
      <c r="N28" s="462"/>
      <c r="O28" s="462"/>
      <c r="P28" s="462"/>
      <c r="Q28" s="462"/>
    </row>
    <row r="29" spans="1:17" ht="15">
      <c r="A29" s="458">
        <v>26</v>
      </c>
      <c r="B29" s="459" t="s">
        <v>72</v>
      </c>
      <c r="C29" s="480">
        <v>286352</v>
      </c>
      <c r="D29" s="480">
        <v>1574627</v>
      </c>
      <c r="E29" s="480">
        <v>28643</v>
      </c>
      <c r="F29" s="461">
        <f t="shared" si="0"/>
        <v>1889622</v>
      </c>
      <c r="G29" s="462"/>
      <c r="H29" s="462"/>
      <c r="I29" s="462"/>
      <c r="J29" s="462"/>
      <c r="K29" s="462"/>
      <c r="L29" s="463"/>
      <c r="M29" s="462"/>
      <c r="N29" s="462"/>
      <c r="O29" s="462"/>
      <c r="P29" s="462"/>
      <c r="Q29" s="462"/>
    </row>
    <row r="30" spans="1:17" ht="15">
      <c r="A30" s="458"/>
      <c r="B30" s="481" t="s">
        <v>570</v>
      </c>
      <c r="C30" s="481">
        <f>SUM(C4:C29)</f>
        <v>1432288</v>
      </c>
      <c r="D30" s="481">
        <f>SUM(D4:D29)</f>
        <v>5301432</v>
      </c>
      <c r="E30" s="481">
        <f>SUM(E4:E29)</f>
        <v>91900</v>
      </c>
      <c r="F30" s="461">
        <f>SUM(F4:F29)</f>
        <v>6825620</v>
      </c>
      <c r="G30" s="462"/>
      <c r="H30" s="462"/>
      <c r="I30" s="462"/>
      <c r="J30" s="462"/>
      <c r="K30" s="462"/>
      <c r="L30" s="474"/>
      <c r="M30" s="462"/>
      <c r="N30" s="462"/>
      <c r="O30" s="462"/>
      <c r="P30" s="462"/>
      <c r="Q30" s="462"/>
    </row>
    <row r="31" spans="1:17" ht="15">
      <c r="A31" s="458">
        <v>27</v>
      </c>
      <c r="B31" s="459" t="s">
        <v>73</v>
      </c>
      <c r="C31" s="482">
        <v>30481</v>
      </c>
      <c r="D31" s="482">
        <v>64017</v>
      </c>
      <c r="E31" s="482">
        <v>2096</v>
      </c>
      <c r="F31" s="461">
        <f aca="true" t="shared" si="1" ref="F31:F39">E31+D31+C31</f>
        <v>96594</v>
      </c>
      <c r="G31" s="462"/>
      <c r="H31" s="462"/>
      <c r="I31" s="462"/>
      <c r="J31" s="462"/>
      <c r="K31" s="462"/>
      <c r="L31" s="463"/>
      <c r="M31" s="462"/>
      <c r="N31" s="462"/>
      <c r="O31" s="462"/>
      <c r="P31" s="462"/>
      <c r="Q31" s="462"/>
    </row>
    <row r="32" spans="1:17" ht="15">
      <c r="A32" s="458">
        <v>28</v>
      </c>
      <c r="B32" s="459" t="s">
        <v>74</v>
      </c>
      <c r="C32" s="460">
        <v>6611</v>
      </c>
      <c r="D32" s="460">
        <v>99597</v>
      </c>
      <c r="E32" s="460">
        <v>4442</v>
      </c>
      <c r="F32" s="461">
        <f t="shared" si="1"/>
        <v>110650</v>
      </c>
      <c r="G32" s="462"/>
      <c r="H32" s="462"/>
      <c r="I32" s="462"/>
      <c r="J32" s="462"/>
      <c r="K32" s="462"/>
      <c r="L32" s="463"/>
      <c r="M32" s="462"/>
      <c r="N32" s="462"/>
      <c r="O32" s="462"/>
      <c r="P32" s="462"/>
      <c r="Q32" s="462"/>
    </row>
    <row r="33" spans="1:17" ht="15">
      <c r="A33" s="458">
        <v>29</v>
      </c>
      <c r="B33" s="459" t="s">
        <v>571</v>
      </c>
      <c r="C33" s="1">
        <v>5900</v>
      </c>
      <c r="D33" s="1">
        <v>16278</v>
      </c>
      <c r="E33" s="1">
        <v>926</v>
      </c>
      <c r="F33" s="461">
        <f t="shared" si="1"/>
        <v>23104</v>
      </c>
      <c r="G33" s="469"/>
      <c r="H33" s="424"/>
      <c r="I33" s="424"/>
      <c r="J33" s="424"/>
      <c r="K33" s="463"/>
      <c r="L33" s="463"/>
      <c r="M33" s="462"/>
      <c r="N33" s="462"/>
      <c r="O33" s="462"/>
      <c r="P33" s="462"/>
      <c r="Q33" s="462"/>
    </row>
    <row r="34" spans="1:17" ht="15">
      <c r="A34" s="458">
        <v>30</v>
      </c>
      <c r="B34" s="459" t="s">
        <v>572</v>
      </c>
      <c r="C34" s="460">
        <v>291</v>
      </c>
      <c r="D34" s="460">
        <v>6638</v>
      </c>
      <c r="E34" s="460">
        <v>7</v>
      </c>
      <c r="F34" s="461">
        <f t="shared" si="1"/>
        <v>6936</v>
      </c>
      <c r="G34" s="462"/>
      <c r="H34" s="462"/>
      <c r="I34" s="462"/>
      <c r="J34" s="462"/>
      <c r="K34" s="462"/>
      <c r="L34" s="463"/>
      <c r="M34" s="462"/>
      <c r="N34" s="462"/>
      <c r="O34" s="462"/>
      <c r="P34" s="462"/>
      <c r="Q34" s="462"/>
    </row>
    <row r="35" spans="1:17" ht="15">
      <c r="A35" s="458">
        <v>31</v>
      </c>
      <c r="B35" s="459" t="s">
        <v>573</v>
      </c>
      <c r="C35" s="460">
        <v>1301</v>
      </c>
      <c r="D35" s="460">
        <v>1901</v>
      </c>
      <c r="E35" s="460">
        <v>0</v>
      </c>
      <c r="F35" s="461">
        <f t="shared" si="1"/>
        <v>3202</v>
      </c>
      <c r="G35" s="462"/>
      <c r="H35" s="462"/>
      <c r="I35" s="462"/>
      <c r="J35" s="462"/>
      <c r="K35" s="462"/>
      <c r="L35" s="463"/>
      <c r="M35" s="462"/>
      <c r="N35" s="462"/>
      <c r="O35" s="462"/>
      <c r="P35" s="462"/>
      <c r="Q35" s="462"/>
    </row>
    <row r="36" spans="1:17" ht="15">
      <c r="A36" s="458">
        <v>32</v>
      </c>
      <c r="B36" s="459" t="s">
        <v>574</v>
      </c>
      <c r="C36" s="460">
        <v>119</v>
      </c>
      <c r="D36" s="460">
        <v>223</v>
      </c>
      <c r="E36" s="460">
        <v>0</v>
      </c>
      <c r="F36" s="461">
        <f t="shared" si="1"/>
        <v>342</v>
      </c>
      <c r="G36" s="462"/>
      <c r="H36" s="462"/>
      <c r="I36" s="462"/>
      <c r="J36" s="462"/>
      <c r="K36" s="462"/>
      <c r="L36" s="463"/>
      <c r="M36" s="462"/>
      <c r="N36" s="462"/>
      <c r="O36" s="462"/>
      <c r="P36" s="462"/>
      <c r="Q36" s="462"/>
    </row>
    <row r="37" spans="1:17" ht="15">
      <c r="A37" s="458">
        <v>33</v>
      </c>
      <c r="B37" s="459" t="s">
        <v>575</v>
      </c>
      <c r="C37" s="460">
        <v>290</v>
      </c>
      <c r="D37" s="460">
        <v>607</v>
      </c>
      <c r="E37" s="460">
        <v>6</v>
      </c>
      <c r="F37" s="461">
        <f t="shared" si="1"/>
        <v>903</v>
      </c>
      <c r="G37" s="462"/>
      <c r="H37" s="462"/>
      <c r="I37" s="462"/>
      <c r="J37" s="462"/>
      <c r="K37" s="462"/>
      <c r="L37" s="463"/>
      <c r="M37" s="462"/>
      <c r="N37" s="462"/>
      <c r="O37" s="462"/>
      <c r="P37" s="462"/>
      <c r="Q37" s="462"/>
    </row>
    <row r="38" spans="1:17" ht="15">
      <c r="A38" s="458">
        <v>34</v>
      </c>
      <c r="B38" s="459" t="s">
        <v>576</v>
      </c>
      <c r="C38" s="460">
        <v>1188</v>
      </c>
      <c r="D38" s="460">
        <v>766</v>
      </c>
      <c r="E38" s="460">
        <v>24</v>
      </c>
      <c r="F38" s="461">
        <f t="shared" si="1"/>
        <v>1978</v>
      </c>
      <c r="G38" s="462"/>
      <c r="H38" s="462"/>
      <c r="I38" s="462"/>
      <c r="J38" s="462"/>
      <c r="K38" s="462"/>
      <c r="L38" s="463"/>
      <c r="M38" s="462"/>
      <c r="N38" s="462"/>
      <c r="O38" s="462"/>
      <c r="P38" s="462"/>
      <c r="Q38" s="462"/>
    </row>
    <row r="39" spans="1:17" ht="15">
      <c r="A39" s="458">
        <v>35</v>
      </c>
      <c r="B39" s="459" t="s">
        <v>577</v>
      </c>
      <c r="C39" s="460">
        <v>332</v>
      </c>
      <c r="D39" s="460">
        <v>460</v>
      </c>
      <c r="E39" s="460">
        <v>0</v>
      </c>
      <c r="F39" s="461">
        <f t="shared" si="1"/>
        <v>792</v>
      </c>
      <c r="G39" s="462"/>
      <c r="H39" s="462"/>
      <c r="I39" s="462"/>
      <c r="J39" s="462"/>
      <c r="K39" s="462"/>
      <c r="L39" s="463"/>
      <c r="M39" s="462"/>
      <c r="N39" s="462"/>
      <c r="O39" s="462"/>
      <c r="P39" s="462"/>
      <c r="Q39" s="462"/>
    </row>
    <row r="40" spans="1:17" ht="15">
      <c r="A40" s="458"/>
      <c r="B40" s="481" t="s">
        <v>578</v>
      </c>
      <c r="C40" s="481">
        <f>SUM(C31:C39)</f>
        <v>46513</v>
      </c>
      <c r="D40" s="481">
        <f>SUM(D31:D39)</f>
        <v>190487</v>
      </c>
      <c r="E40" s="481">
        <f>SUM(E31:E39)</f>
        <v>7501</v>
      </c>
      <c r="F40" s="483">
        <f>E40+D40+C40</f>
        <v>244501</v>
      </c>
      <c r="G40" s="462"/>
      <c r="H40" s="462"/>
      <c r="I40" s="462"/>
      <c r="J40" s="462"/>
      <c r="K40" s="462"/>
      <c r="L40" s="474"/>
      <c r="M40" s="462"/>
      <c r="N40" s="462"/>
      <c r="O40" s="462"/>
      <c r="P40" s="462"/>
      <c r="Q40" s="462"/>
    </row>
    <row r="41" spans="1:17" ht="15">
      <c r="A41" s="458">
        <v>36</v>
      </c>
      <c r="B41" s="459" t="s">
        <v>269</v>
      </c>
      <c r="C41" s="484">
        <v>33760</v>
      </c>
      <c r="D41" s="484">
        <v>425106</v>
      </c>
      <c r="E41" s="485">
        <v>12121</v>
      </c>
      <c r="F41" s="486">
        <f>E41+D41+C41</f>
        <v>470987</v>
      </c>
      <c r="G41" s="462"/>
      <c r="H41" s="462"/>
      <c r="I41" s="462"/>
      <c r="J41" s="462"/>
      <c r="K41" s="462"/>
      <c r="L41" s="463"/>
      <c r="M41" s="462"/>
      <c r="N41" s="462"/>
      <c r="O41" s="462"/>
      <c r="P41" s="462"/>
      <c r="Q41" s="462"/>
    </row>
    <row r="42" spans="1:17" ht="15">
      <c r="A42" s="458">
        <v>37</v>
      </c>
      <c r="B42" s="459" t="s">
        <v>48</v>
      </c>
      <c r="C42" s="487">
        <v>75741</v>
      </c>
      <c r="D42" s="487">
        <v>305994</v>
      </c>
      <c r="E42" s="487">
        <v>9784</v>
      </c>
      <c r="F42" s="486">
        <f>E42+D42+C42</f>
        <v>391519</v>
      </c>
      <c r="G42" s="462"/>
      <c r="H42" s="462"/>
      <c r="I42" s="462"/>
      <c r="J42" s="462"/>
      <c r="K42" s="462"/>
      <c r="L42" s="463"/>
      <c r="M42" s="462"/>
      <c r="N42" s="462"/>
      <c r="O42" s="462"/>
      <c r="P42" s="462"/>
      <c r="Q42" s="462"/>
    </row>
    <row r="43" spans="1:17" ht="15.75">
      <c r="A43" s="458">
        <v>38</v>
      </c>
      <c r="B43" s="459" t="s">
        <v>54</v>
      </c>
      <c r="C43" s="488">
        <v>396991</v>
      </c>
      <c r="D43" s="488">
        <v>61531</v>
      </c>
      <c r="E43" s="488">
        <v>35787</v>
      </c>
      <c r="F43" s="486">
        <f>E43+D43+C43</f>
        <v>494309</v>
      </c>
      <c r="G43" s="469"/>
      <c r="H43" s="489"/>
      <c r="I43" s="489"/>
      <c r="J43" s="489"/>
      <c r="K43" s="463"/>
      <c r="L43" s="463"/>
      <c r="M43" s="462"/>
      <c r="N43" s="462"/>
      <c r="O43" s="462"/>
      <c r="P43" s="490"/>
      <c r="Q43" s="462"/>
    </row>
    <row r="44" spans="1:17" ht="15">
      <c r="A44" s="458"/>
      <c r="B44" s="481" t="s">
        <v>579</v>
      </c>
      <c r="C44" s="491">
        <f>SUM(C41:C43)</f>
        <v>506492</v>
      </c>
      <c r="D44" s="491">
        <f>SUM(D41:D43)</f>
        <v>792631</v>
      </c>
      <c r="E44" s="491">
        <f>SUM(E41:E43)</f>
        <v>57692</v>
      </c>
      <c r="F44" s="486">
        <f>SUM(F41:F43)</f>
        <v>1356815</v>
      </c>
      <c r="G44" s="462"/>
      <c r="H44" s="472"/>
      <c r="I44" s="462"/>
      <c r="J44" s="462"/>
      <c r="K44" s="462"/>
      <c r="L44" s="474"/>
      <c r="M44" s="462"/>
      <c r="N44" s="462"/>
      <c r="O44" s="462"/>
      <c r="P44" s="462"/>
      <c r="Q44" s="462"/>
    </row>
    <row r="45" spans="1:17" ht="15">
      <c r="A45" s="458">
        <v>39</v>
      </c>
      <c r="B45" s="481" t="s">
        <v>580</v>
      </c>
      <c r="C45" s="492">
        <v>104373</v>
      </c>
      <c r="D45" s="492">
        <v>599918</v>
      </c>
      <c r="E45" s="492">
        <v>1676</v>
      </c>
      <c r="F45" s="461">
        <f>C45+D45+E45</f>
        <v>705967</v>
      </c>
      <c r="G45" s="462"/>
      <c r="H45" s="472"/>
      <c r="I45" s="462"/>
      <c r="J45" s="462"/>
      <c r="K45" s="462"/>
      <c r="L45" s="474"/>
      <c r="M45" s="462"/>
      <c r="N45" s="462"/>
      <c r="O45" s="462"/>
      <c r="P45" s="462"/>
      <c r="Q45" s="462"/>
    </row>
    <row r="46" spans="1:17" ht="15">
      <c r="A46" s="458"/>
      <c r="B46" s="481" t="s">
        <v>276</v>
      </c>
      <c r="C46" s="481">
        <f>C45+C44+C40+C30</f>
        <v>2089666</v>
      </c>
      <c r="D46" s="481">
        <f>D45+D44+D40+D30</f>
        <v>6884468</v>
      </c>
      <c r="E46" s="481">
        <f>E45+E44+E40+E30</f>
        <v>158769</v>
      </c>
      <c r="F46" s="481">
        <f>E46+D46+C46</f>
        <v>9132903</v>
      </c>
      <c r="G46" s="462"/>
      <c r="H46" s="472"/>
      <c r="I46" s="462"/>
      <c r="J46" s="462"/>
      <c r="K46" s="462"/>
      <c r="L46" s="474"/>
      <c r="M46" s="462"/>
      <c r="N46" s="462"/>
      <c r="O46" s="462"/>
      <c r="P46" s="462"/>
      <c r="Q46" s="462"/>
    </row>
    <row r="47" spans="3:18" ht="15">
      <c r="C47" s="494"/>
      <c r="D47" s="494"/>
      <c r="E47" s="494"/>
      <c r="F47" s="494"/>
      <c r="G47" s="474"/>
      <c r="H47" s="462"/>
      <c r="I47" s="472"/>
      <c r="J47" s="462"/>
      <c r="K47" s="462"/>
      <c r="L47" s="462"/>
      <c r="M47" s="462"/>
      <c r="N47" s="462"/>
      <c r="O47" s="462"/>
      <c r="P47" s="462"/>
      <c r="Q47" s="462"/>
      <c r="R47" s="462"/>
    </row>
    <row r="48" ht="15">
      <c r="I48" s="472"/>
    </row>
    <row r="50" spans="3:6" ht="15">
      <c r="C50" s="3">
        <v>2143246</v>
      </c>
      <c r="D50" s="3">
        <v>6993291</v>
      </c>
      <c r="E50" s="3">
        <v>133092</v>
      </c>
      <c r="F50" s="495">
        <v>9269629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14" sqref="O14"/>
    </sheetView>
  </sheetViews>
  <sheetFormatPr defaultColWidth="9.140625" defaultRowHeight="12.75"/>
  <cols>
    <col min="1" max="1" width="4.7109375" style="498" customWidth="1"/>
    <col min="2" max="2" width="23.28125" style="498" customWidth="1"/>
    <col min="3" max="3" width="10.7109375" style="497" customWidth="1"/>
    <col min="4" max="4" width="8.8515625" style="497" customWidth="1"/>
    <col min="5" max="5" width="7.8515625" style="496" bestFit="1" customWidth="1"/>
    <col min="6" max="6" width="8.421875" style="497" bestFit="1" customWidth="1"/>
    <col min="7" max="7" width="6.7109375" style="496" bestFit="1" customWidth="1"/>
    <col min="8" max="8" width="7.57421875" style="497" bestFit="1" customWidth="1"/>
    <col min="9" max="9" width="6.00390625" style="496" bestFit="1" customWidth="1"/>
    <col min="10" max="10" width="7.57421875" style="497" bestFit="1" customWidth="1"/>
    <col min="11" max="11" width="7.8515625" style="496" bestFit="1" customWidth="1"/>
    <col min="12" max="12" width="8.421875" style="497" customWidth="1"/>
    <col min="13" max="16384" width="9.140625" style="498" customWidth="1"/>
  </cols>
  <sheetData>
    <row r="1" spans="1:6" ht="15">
      <c r="A1" s="704" t="s">
        <v>582</v>
      </c>
      <c r="B1" s="704"/>
      <c r="C1" s="704"/>
      <c r="D1" s="704"/>
      <c r="E1" s="704"/>
      <c r="F1" s="704"/>
    </row>
    <row r="2" spans="1:12" ht="15" customHeight="1">
      <c r="A2" s="705" t="s">
        <v>583</v>
      </c>
      <c r="B2" s="705"/>
      <c r="C2" s="705"/>
      <c r="D2" s="705"/>
      <c r="E2" s="705"/>
      <c r="F2" s="705"/>
      <c r="J2" s="706" t="s">
        <v>584</v>
      </c>
      <c r="K2" s="706"/>
      <c r="L2" s="706"/>
    </row>
    <row r="3" spans="1:12" ht="19.5" customHeight="1">
      <c r="A3" s="550" t="s">
        <v>547</v>
      </c>
      <c r="B3" s="707" t="s">
        <v>548</v>
      </c>
      <c r="C3" s="708" t="s">
        <v>585</v>
      </c>
      <c r="D3" s="709" t="s">
        <v>586</v>
      </c>
      <c r="E3" s="703" t="s">
        <v>587</v>
      </c>
      <c r="F3" s="703"/>
      <c r="G3" s="703" t="s">
        <v>588</v>
      </c>
      <c r="H3" s="703"/>
      <c r="I3" s="703" t="s">
        <v>589</v>
      </c>
      <c r="J3" s="703"/>
      <c r="K3" s="703" t="s">
        <v>0</v>
      </c>
      <c r="L3" s="703"/>
    </row>
    <row r="4" spans="1:12" ht="19.5" customHeight="1">
      <c r="A4" s="550"/>
      <c r="B4" s="707"/>
      <c r="C4" s="708"/>
      <c r="D4" s="709"/>
      <c r="E4" s="499" t="s">
        <v>30</v>
      </c>
      <c r="F4" s="500" t="s">
        <v>17</v>
      </c>
      <c r="G4" s="499" t="s">
        <v>30</v>
      </c>
      <c r="H4" s="500" t="s">
        <v>17</v>
      </c>
      <c r="I4" s="499" t="s">
        <v>30</v>
      </c>
      <c r="J4" s="500" t="s">
        <v>17</v>
      </c>
      <c r="K4" s="499" t="s">
        <v>30</v>
      </c>
      <c r="L4" s="500" t="s">
        <v>17</v>
      </c>
    </row>
    <row r="5" spans="1:12" ht="15" customHeight="1">
      <c r="A5" s="31">
        <v>1</v>
      </c>
      <c r="B5" s="501" t="s">
        <v>57</v>
      </c>
      <c r="C5" s="502">
        <v>144</v>
      </c>
      <c r="D5" s="502">
        <v>121.11</v>
      </c>
      <c r="E5" s="503">
        <v>131</v>
      </c>
      <c r="F5" s="502">
        <v>0.27</v>
      </c>
      <c r="G5" s="503">
        <v>182</v>
      </c>
      <c r="H5" s="502">
        <v>7.8</v>
      </c>
      <c r="I5" s="503">
        <v>40</v>
      </c>
      <c r="J5" s="502">
        <v>3.51</v>
      </c>
      <c r="K5" s="504">
        <f>I5+G5+E5</f>
        <v>353</v>
      </c>
      <c r="L5" s="505">
        <f>J5+H5+F5</f>
        <v>11.579999999999998</v>
      </c>
    </row>
    <row r="6" spans="1:12" ht="15" customHeight="1">
      <c r="A6" s="31">
        <v>2</v>
      </c>
      <c r="B6" s="506" t="s">
        <v>58</v>
      </c>
      <c r="C6" s="507">
        <v>33.2</v>
      </c>
      <c r="D6" s="505">
        <v>26.09</v>
      </c>
      <c r="E6" s="504">
        <v>1759</v>
      </c>
      <c r="F6" s="505">
        <v>5.1</v>
      </c>
      <c r="G6" s="504">
        <v>564</v>
      </c>
      <c r="H6" s="505">
        <v>12.41</v>
      </c>
      <c r="I6" s="504">
        <v>133</v>
      </c>
      <c r="J6" s="505">
        <v>11.64</v>
      </c>
      <c r="K6" s="504">
        <f>E6+G6+I6</f>
        <v>2456</v>
      </c>
      <c r="L6" s="505">
        <f aca="true" t="shared" si="0" ref="L6:L31">J6+H6+F6</f>
        <v>29.15</v>
      </c>
    </row>
    <row r="7" spans="1:12" ht="15" customHeight="1">
      <c r="A7" s="31">
        <v>3</v>
      </c>
      <c r="B7" s="501" t="s">
        <v>59</v>
      </c>
      <c r="C7" s="502">
        <v>184.59</v>
      </c>
      <c r="D7" s="502">
        <v>98.14</v>
      </c>
      <c r="E7" s="503">
        <v>5211</v>
      </c>
      <c r="F7" s="502">
        <v>9.010000000000002</v>
      </c>
      <c r="G7" s="503">
        <v>2204</v>
      </c>
      <c r="H7" s="502">
        <v>45.54</v>
      </c>
      <c r="I7" s="503">
        <v>705</v>
      </c>
      <c r="J7" s="502">
        <v>51.449999999999996</v>
      </c>
      <c r="K7" s="504">
        <f aca="true" t="shared" si="1" ref="K7:K31">E7+G7+I7</f>
        <v>8120</v>
      </c>
      <c r="L7" s="505">
        <f t="shared" si="0"/>
        <v>106</v>
      </c>
    </row>
    <row r="8" spans="1:13" ht="15" customHeight="1">
      <c r="A8" s="31">
        <v>4</v>
      </c>
      <c r="B8" s="506" t="s">
        <v>60</v>
      </c>
      <c r="C8" s="507">
        <v>423</v>
      </c>
      <c r="D8" s="502">
        <v>279.14</v>
      </c>
      <c r="E8" s="503">
        <v>486</v>
      </c>
      <c r="F8" s="502">
        <v>2.18</v>
      </c>
      <c r="G8" s="503">
        <v>573</v>
      </c>
      <c r="H8" s="502">
        <v>14.96</v>
      </c>
      <c r="I8" s="503">
        <v>116</v>
      </c>
      <c r="J8" s="502">
        <v>9.76</v>
      </c>
      <c r="K8" s="504">
        <f t="shared" si="1"/>
        <v>1175</v>
      </c>
      <c r="L8" s="505">
        <f t="shared" si="0"/>
        <v>26.9</v>
      </c>
      <c r="M8" s="508"/>
    </row>
    <row r="9" spans="1:13" ht="15" customHeight="1">
      <c r="A9" s="31">
        <v>5</v>
      </c>
      <c r="B9" s="501" t="s">
        <v>61</v>
      </c>
      <c r="C9" s="502">
        <v>103.96</v>
      </c>
      <c r="D9" s="502">
        <v>87.59</v>
      </c>
      <c r="E9" s="503">
        <v>1730</v>
      </c>
      <c r="F9" s="502">
        <v>5.89</v>
      </c>
      <c r="G9" s="503">
        <v>2297</v>
      </c>
      <c r="H9" s="502">
        <v>57.95</v>
      </c>
      <c r="I9" s="503">
        <v>530</v>
      </c>
      <c r="J9" s="502">
        <v>42.15</v>
      </c>
      <c r="K9" s="504">
        <v>327</v>
      </c>
      <c r="L9" s="505">
        <f t="shared" si="0"/>
        <v>105.99</v>
      </c>
      <c r="M9" s="509"/>
    </row>
    <row r="10" spans="1:13" ht="15" customHeight="1">
      <c r="A10" s="31">
        <v>6</v>
      </c>
      <c r="B10" s="506" t="s">
        <v>62</v>
      </c>
      <c r="C10" s="507">
        <v>250</v>
      </c>
      <c r="D10" s="502">
        <v>220</v>
      </c>
      <c r="E10" s="503">
        <v>2689</v>
      </c>
      <c r="F10" s="502">
        <v>3.53</v>
      </c>
      <c r="G10" s="503">
        <v>1043</v>
      </c>
      <c r="H10" s="502">
        <v>18.61</v>
      </c>
      <c r="I10" s="503">
        <v>153</v>
      </c>
      <c r="J10" s="502">
        <v>10.08</v>
      </c>
      <c r="K10" s="504">
        <f t="shared" si="1"/>
        <v>3885</v>
      </c>
      <c r="L10" s="505">
        <f t="shared" si="0"/>
        <v>32.22</v>
      </c>
      <c r="M10" s="510"/>
    </row>
    <row r="11" spans="1:13" ht="15" customHeight="1">
      <c r="A11" s="31">
        <v>7</v>
      </c>
      <c r="B11" s="501" t="s">
        <v>63</v>
      </c>
      <c r="C11" s="502">
        <v>206.45</v>
      </c>
      <c r="D11" s="502">
        <v>221.03</v>
      </c>
      <c r="E11" s="511">
        <v>255</v>
      </c>
      <c r="F11" s="502">
        <v>0.89</v>
      </c>
      <c r="G11" s="511">
        <v>321</v>
      </c>
      <c r="H11" s="502">
        <v>7.34</v>
      </c>
      <c r="I11" s="511">
        <v>99</v>
      </c>
      <c r="J11" s="502">
        <v>7.91</v>
      </c>
      <c r="K11" s="504">
        <f t="shared" si="1"/>
        <v>675</v>
      </c>
      <c r="L11" s="505">
        <f t="shared" si="0"/>
        <v>16.14</v>
      </c>
      <c r="M11" s="512"/>
    </row>
    <row r="12" spans="1:13" ht="15" customHeight="1">
      <c r="A12" s="31">
        <v>8</v>
      </c>
      <c r="B12" s="506" t="s">
        <v>50</v>
      </c>
      <c r="C12" s="507">
        <v>15</v>
      </c>
      <c r="D12" s="502">
        <v>47.17</v>
      </c>
      <c r="E12" s="503">
        <v>1681</v>
      </c>
      <c r="F12" s="502">
        <v>6.18</v>
      </c>
      <c r="G12" s="503">
        <v>865</v>
      </c>
      <c r="H12" s="502">
        <v>16.43</v>
      </c>
      <c r="I12" s="503">
        <v>292</v>
      </c>
      <c r="J12" s="502">
        <v>28.58</v>
      </c>
      <c r="K12" s="504">
        <f t="shared" si="1"/>
        <v>2838</v>
      </c>
      <c r="L12" s="505">
        <f t="shared" si="0"/>
        <v>51.19</v>
      </c>
      <c r="M12" s="510"/>
    </row>
    <row r="13" spans="1:13" ht="15" customHeight="1">
      <c r="A13" s="31">
        <v>9</v>
      </c>
      <c r="B13" s="501" t="s">
        <v>51</v>
      </c>
      <c r="C13" s="502">
        <v>39</v>
      </c>
      <c r="D13" s="502">
        <v>22.93</v>
      </c>
      <c r="E13" s="503">
        <v>55</v>
      </c>
      <c r="F13" s="502">
        <v>0.18</v>
      </c>
      <c r="G13" s="503">
        <v>103</v>
      </c>
      <c r="H13" s="502">
        <v>2.18</v>
      </c>
      <c r="I13" s="503">
        <v>22</v>
      </c>
      <c r="J13" s="502">
        <v>1.63</v>
      </c>
      <c r="K13" s="504">
        <f t="shared" si="1"/>
        <v>180</v>
      </c>
      <c r="L13" s="505">
        <f t="shared" si="0"/>
        <v>3.99</v>
      </c>
      <c r="M13" s="489"/>
    </row>
    <row r="14" spans="1:13" ht="15" customHeight="1">
      <c r="A14" s="31">
        <v>10</v>
      </c>
      <c r="B14" s="506" t="s">
        <v>568</v>
      </c>
      <c r="C14" s="507">
        <v>34.17</v>
      </c>
      <c r="D14" s="502">
        <v>58.44</v>
      </c>
      <c r="E14" s="503">
        <v>89</v>
      </c>
      <c r="F14" s="502">
        <v>0.35</v>
      </c>
      <c r="G14" s="503">
        <v>12</v>
      </c>
      <c r="H14" s="502">
        <v>0.42</v>
      </c>
      <c r="I14" s="503">
        <v>4</v>
      </c>
      <c r="J14" s="502">
        <v>0.32</v>
      </c>
      <c r="K14" s="504">
        <f t="shared" si="1"/>
        <v>105</v>
      </c>
      <c r="L14" s="505">
        <f t="shared" si="0"/>
        <v>1.0899999999999999</v>
      </c>
      <c r="M14" s="510"/>
    </row>
    <row r="15" spans="1:13" ht="15" customHeight="1">
      <c r="A15" s="31">
        <v>11</v>
      </c>
      <c r="B15" s="501" t="s">
        <v>64</v>
      </c>
      <c r="C15" s="502">
        <v>7.14</v>
      </c>
      <c r="D15" s="502">
        <v>17.15</v>
      </c>
      <c r="E15" s="503">
        <v>264</v>
      </c>
      <c r="F15" s="502">
        <v>2.4</v>
      </c>
      <c r="G15" s="503">
        <v>200</v>
      </c>
      <c r="H15" s="502">
        <v>10.42</v>
      </c>
      <c r="I15" s="503">
        <v>38</v>
      </c>
      <c r="J15" s="502">
        <v>7.54</v>
      </c>
      <c r="K15" s="504">
        <f t="shared" si="1"/>
        <v>502</v>
      </c>
      <c r="L15" s="505">
        <f t="shared" si="0"/>
        <v>20.36</v>
      </c>
      <c r="M15" s="512"/>
    </row>
    <row r="16" spans="1:13" ht="15" customHeight="1">
      <c r="A16" s="31">
        <v>12</v>
      </c>
      <c r="B16" s="506" t="s">
        <v>65</v>
      </c>
      <c r="C16" s="513">
        <v>37.45</v>
      </c>
      <c r="D16" s="502">
        <v>17.86</v>
      </c>
      <c r="E16" s="503">
        <v>42</v>
      </c>
      <c r="F16" s="502">
        <v>0.12</v>
      </c>
      <c r="G16" s="503">
        <v>77</v>
      </c>
      <c r="H16" s="502">
        <v>1.39</v>
      </c>
      <c r="I16" s="503">
        <v>17</v>
      </c>
      <c r="J16" s="502">
        <v>1.03</v>
      </c>
      <c r="K16" s="504">
        <f t="shared" si="1"/>
        <v>136</v>
      </c>
      <c r="L16" s="505">
        <f t="shared" si="0"/>
        <v>2.54</v>
      </c>
      <c r="M16" s="510"/>
    </row>
    <row r="17" spans="1:13" ht="15" customHeight="1">
      <c r="A17" s="31">
        <v>13</v>
      </c>
      <c r="B17" s="501" t="s">
        <v>247</v>
      </c>
      <c r="C17" s="502">
        <v>64.95</v>
      </c>
      <c r="D17" s="502">
        <v>43.27</v>
      </c>
      <c r="E17" s="503">
        <v>176</v>
      </c>
      <c r="F17" s="502">
        <v>0.4</v>
      </c>
      <c r="G17" s="503">
        <v>203</v>
      </c>
      <c r="H17" s="502">
        <v>3.56</v>
      </c>
      <c r="I17" s="503">
        <v>60</v>
      </c>
      <c r="J17" s="502">
        <v>4.17</v>
      </c>
      <c r="K17" s="504">
        <f t="shared" si="1"/>
        <v>439</v>
      </c>
      <c r="L17" s="505">
        <f t="shared" si="0"/>
        <v>8.13</v>
      </c>
      <c r="M17" s="512"/>
    </row>
    <row r="18" spans="1:13" ht="15" customHeight="1">
      <c r="A18" s="31">
        <v>14</v>
      </c>
      <c r="B18" s="506" t="s">
        <v>248</v>
      </c>
      <c r="C18" s="507">
        <v>24</v>
      </c>
      <c r="D18" s="502">
        <v>12.72</v>
      </c>
      <c r="E18" s="503">
        <v>2921</v>
      </c>
      <c r="F18" s="502">
        <v>1.76</v>
      </c>
      <c r="G18" s="503">
        <v>374</v>
      </c>
      <c r="H18" s="502">
        <v>6.22</v>
      </c>
      <c r="I18" s="503">
        <v>159</v>
      </c>
      <c r="J18" s="502">
        <v>9.44</v>
      </c>
      <c r="K18" s="504">
        <f>E18+G18+I18</f>
        <v>3454</v>
      </c>
      <c r="L18" s="505">
        <f t="shared" si="0"/>
        <v>17.42</v>
      </c>
      <c r="M18" s="510"/>
    </row>
    <row r="19" spans="1:13" ht="15" customHeight="1">
      <c r="A19" s="31">
        <v>15</v>
      </c>
      <c r="B19" s="501" t="s">
        <v>66</v>
      </c>
      <c r="C19" s="502">
        <v>295</v>
      </c>
      <c r="D19" s="502">
        <v>198.05</v>
      </c>
      <c r="E19" s="511">
        <v>1016</v>
      </c>
      <c r="F19" s="514">
        <v>4.24</v>
      </c>
      <c r="G19" s="511">
        <v>1333</v>
      </c>
      <c r="H19" s="514">
        <v>29.83</v>
      </c>
      <c r="I19" s="511">
        <v>365</v>
      </c>
      <c r="J19" s="514">
        <v>29.33</v>
      </c>
      <c r="K19" s="504">
        <f t="shared" si="1"/>
        <v>2714</v>
      </c>
      <c r="L19" s="505">
        <f t="shared" si="0"/>
        <v>63.4</v>
      </c>
      <c r="M19" s="515"/>
    </row>
    <row r="20" spans="1:13" ht="15" customHeight="1">
      <c r="A20" s="31">
        <v>16</v>
      </c>
      <c r="B20" s="506" t="s">
        <v>67</v>
      </c>
      <c r="C20" s="507">
        <v>26.04</v>
      </c>
      <c r="D20" s="502">
        <v>56.99</v>
      </c>
      <c r="E20" s="503">
        <v>446</v>
      </c>
      <c r="F20" s="502">
        <v>18.61</v>
      </c>
      <c r="G20" s="503">
        <v>286</v>
      </c>
      <c r="H20" s="502">
        <v>20.02</v>
      </c>
      <c r="I20" s="503">
        <v>125</v>
      </c>
      <c r="J20" s="502">
        <v>18.36</v>
      </c>
      <c r="K20" s="504">
        <v>857</v>
      </c>
      <c r="L20" s="505">
        <f t="shared" si="0"/>
        <v>56.989999999999995</v>
      </c>
      <c r="M20" s="510"/>
    </row>
    <row r="21" spans="1:13" ht="15" customHeight="1">
      <c r="A21" s="31">
        <v>17</v>
      </c>
      <c r="B21" s="501" t="s">
        <v>82</v>
      </c>
      <c r="C21" s="502">
        <v>265</v>
      </c>
      <c r="D21" s="502">
        <v>73.22</v>
      </c>
      <c r="E21" s="503">
        <v>1961</v>
      </c>
      <c r="F21" s="502">
        <v>5.87</v>
      </c>
      <c r="G21" s="503">
        <v>2597</v>
      </c>
      <c r="H21" s="502">
        <v>47.62</v>
      </c>
      <c r="I21" s="503">
        <v>641</v>
      </c>
      <c r="J21" s="502">
        <v>52.94</v>
      </c>
      <c r="K21" s="504">
        <f t="shared" si="1"/>
        <v>5199</v>
      </c>
      <c r="L21" s="505">
        <f t="shared" si="0"/>
        <v>106.43</v>
      </c>
      <c r="M21" s="512"/>
    </row>
    <row r="22" spans="1:13" ht="15" customHeight="1">
      <c r="A22" s="31">
        <v>18</v>
      </c>
      <c r="B22" s="506" t="s">
        <v>68</v>
      </c>
      <c r="C22" s="502">
        <v>189</v>
      </c>
      <c r="D22" s="502">
        <v>120.38</v>
      </c>
      <c r="E22" s="503">
        <v>420</v>
      </c>
      <c r="F22" s="502">
        <v>1.76</v>
      </c>
      <c r="G22" s="503">
        <v>620</v>
      </c>
      <c r="H22" s="502">
        <v>14.17</v>
      </c>
      <c r="I22" s="503">
        <v>114</v>
      </c>
      <c r="J22" s="502">
        <v>8.53</v>
      </c>
      <c r="K22" s="504">
        <f t="shared" si="1"/>
        <v>1154</v>
      </c>
      <c r="L22" s="505">
        <f t="shared" si="0"/>
        <v>24.46</v>
      </c>
      <c r="M22" s="510"/>
    </row>
    <row r="23" spans="1:13" ht="15" customHeight="1">
      <c r="A23" s="31">
        <v>19</v>
      </c>
      <c r="B23" s="501" t="s">
        <v>69</v>
      </c>
      <c r="C23" s="502">
        <v>10.33</v>
      </c>
      <c r="D23" s="502">
        <v>0.64</v>
      </c>
      <c r="E23" s="503">
        <v>110</v>
      </c>
      <c r="F23" s="502">
        <v>0.24</v>
      </c>
      <c r="G23" s="503">
        <v>78</v>
      </c>
      <c r="H23" s="502">
        <v>0.21</v>
      </c>
      <c r="I23" s="503">
        <v>27</v>
      </c>
      <c r="J23" s="502">
        <v>0.19</v>
      </c>
      <c r="K23" s="504">
        <f t="shared" si="1"/>
        <v>215</v>
      </c>
      <c r="L23" s="505">
        <f t="shared" si="0"/>
        <v>0.64</v>
      </c>
      <c r="M23" s="512"/>
    </row>
    <row r="24" spans="1:13" ht="15" customHeight="1">
      <c r="A24" s="31">
        <v>20</v>
      </c>
      <c r="B24" s="506" t="s">
        <v>52</v>
      </c>
      <c r="C24" s="507">
        <v>85</v>
      </c>
      <c r="D24" s="502">
        <v>52.2</v>
      </c>
      <c r="E24" s="503">
        <v>1329</v>
      </c>
      <c r="F24" s="502">
        <v>7.09</v>
      </c>
      <c r="G24" s="503">
        <v>440</v>
      </c>
      <c r="H24" s="502">
        <v>26.65</v>
      </c>
      <c r="I24" s="503">
        <v>187</v>
      </c>
      <c r="J24" s="502">
        <v>21.81</v>
      </c>
      <c r="K24" s="504">
        <f t="shared" si="1"/>
        <v>1956</v>
      </c>
      <c r="L24" s="505">
        <f t="shared" si="0"/>
        <v>55.55</v>
      </c>
      <c r="M24" s="510"/>
    </row>
    <row r="25" spans="1:13" ht="15" customHeight="1">
      <c r="A25" s="31">
        <v>21</v>
      </c>
      <c r="B25" s="501" t="s">
        <v>70</v>
      </c>
      <c r="C25" s="502">
        <v>0.6</v>
      </c>
      <c r="D25" s="502">
        <v>0.16</v>
      </c>
      <c r="E25" s="503">
        <v>0</v>
      </c>
      <c r="F25" s="502">
        <v>0</v>
      </c>
      <c r="G25" s="503">
        <v>0</v>
      </c>
      <c r="H25" s="502">
        <v>0</v>
      </c>
      <c r="I25" s="503">
        <v>0</v>
      </c>
      <c r="J25" s="502">
        <v>0</v>
      </c>
      <c r="K25" s="504">
        <f t="shared" si="1"/>
        <v>0</v>
      </c>
      <c r="L25" s="505">
        <f t="shared" si="0"/>
        <v>0</v>
      </c>
      <c r="M25" s="512"/>
    </row>
    <row r="26" spans="1:13" ht="15" customHeight="1">
      <c r="A26" s="31">
        <v>22</v>
      </c>
      <c r="B26" s="506" t="s">
        <v>71</v>
      </c>
      <c r="C26" s="507">
        <v>3</v>
      </c>
      <c r="D26" s="502">
        <v>0.4</v>
      </c>
      <c r="E26" s="503">
        <v>0</v>
      </c>
      <c r="F26" s="502">
        <v>0</v>
      </c>
      <c r="G26" s="503">
        <v>0</v>
      </c>
      <c r="H26" s="502">
        <v>0</v>
      </c>
      <c r="I26" s="503">
        <v>0</v>
      </c>
      <c r="J26" s="502">
        <v>0</v>
      </c>
      <c r="K26" s="504">
        <f t="shared" si="1"/>
        <v>0</v>
      </c>
      <c r="L26" s="505">
        <f t="shared" si="0"/>
        <v>0</v>
      </c>
      <c r="M26" s="510"/>
    </row>
    <row r="27" spans="1:13" ht="15" customHeight="1">
      <c r="A27" s="31">
        <v>23</v>
      </c>
      <c r="B27" s="501" t="s">
        <v>249</v>
      </c>
      <c r="C27" s="502">
        <v>1.8</v>
      </c>
      <c r="D27" s="502">
        <v>0.05</v>
      </c>
      <c r="E27" s="503">
        <v>0</v>
      </c>
      <c r="F27" s="502">
        <v>0</v>
      </c>
      <c r="G27" s="503">
        <v>0</v>
      </c>
      <c r="H27" s="502">
        <v>0</v>
      </c>
      <c r="I27" s="503">
        <v>0</v>
      </c>
      <c r="J27" s="502">
        <v>0</v>
      </c>
      <c r="K27" s="504">
        <f t="shared" si="1"/>
        <v>0</v>
      </c>
      <c r="L27" s="505">
        <f t="shared" si="0"/>
        <v>0</v>
      </c>
      <c r="M27" s="512"/>
    </row>
    <row r="28" spans="1:13" ht="15" customHeight="1">
      <c r="A28" s="31">
        <v>24</v>
      </c>
      <c r="B28" s="506" t="s">
        <v>250</v>
      </c>
      <c r="C28" s="507">
        <v>10.31</v>
      </c>
      <c r="D28" s="502">
        <v>10.01</v>
      </c>
      <c r="E28" s="503">
        <v>0</v>
      </c>
      <c r="F28" s="502">
        <v>0</v>
      </c>
      <c r="G28" s="503">
        <v>0</v>
      </c>
      <c r="H28" s="502">
        <v>0</v>
      </c>
      <c r="I28" s="503">
        <v>0</v>
      </c>
      <c r="J28" s="502">
        <v>0</v>
      </c>
      <c r="K28" s="504">
        <f t="shared" si="1"/>
        <v>0</v>
      </c>
      <c r="L28" s="505">
        <f t="shared" si="0"/>
        <v>0</v>
      </c>
      <c r="M28" s="510"/>
    </row>
    <row r="29" spans="1:13" ht="15" customHeight="1">
      <c r="A29" s="31">
        <v>25</v>
      </c>
      <c r="B29" s="501" t="s">
        <v>251</v>
      </c>
      <c r="C29" s="502">
        <v>3.5</v>
      </c>
      <c r="D29" s="502">
        <v>0.04</v>
      </c>
      <c r="E29" s="503">
        <v>0</v>
      </c>
      <c r="F29" s="502">
        <v>0</v>
      </c>
      <c r="G29" s="503">
        <v>0</v>
      </c>
      <c r="H29" s="502">
        <v>0</v>
      </c>
      <c r="I29" s="503">
        <v>0</v>
      </c>
      <c r="J29" s="502">
        <v>0</v>
      </c>
      <c r="K29" s="504">
        <f t="shared" si="1"/>
        <v>0</v>
      </c>
      <c r="L29" s="505">
        <f t="shared" si="0"/>
        <v>0</v>
      </c>
      <c r="M29" s="512"/>
    </row>
    <row r="30" spans="1:13" ht="15" customHeight="1">
      <c r="A30" s="31">
        <v>26</v>
      </c>
      <c r="B30" s="506" t="s">
        <v>252</v>
      </c>
      <c r="C30" s="507">
        <v>8.5</v>
      </c>
      <c r="D30" s="502">
        <v>8.66</v>
      </c>
      <c r="E30" s="503">
        <v>0</v>
      </c>
      <c r="F30" s="502">
        <v>0</v>
      </c>
      <c r="G30" s="503">
        <v>0</v>
      </c>
      <c r="H30" s="502">
        <v>0</v>
      </c>
      <c r="I30" s="503">
        <v>0</v>
      </c>
      <c r="J30" s="502">
        <v>0</v>
      </c>
      <c r="K30" s="504">
        <f t="shared" si="1"/>
        <v>0</v>
      </c>
      <c r="L30" s="505">
        <f t="shared" si="0"/>
        <v>0</v>
      </c>
      <c r="M30" s="510"/>
    </row>
    <row r="31" spans="1:12" ht="15" customHeight="1">
      <c r="A31" s="31">
        <v>27</v>
      </c>
      <c r="B31" s="501" t="s">
        <v>72</v>
      </c>
      <c r="C31" s="502">
        <v>1750</v>
      </c>
      <c r="D31" s="502">
        <v>952.82</v>
      </c>
      <c r="E31" s="511">
        <v>864</v>
      </c>
      <c r="F31" s="514">
        <v>2.85</v>
      </c>
      <c r="G31" s="511">
        <v>974</v>
      </c>
      <c r="H31" s="514">
        <v>19.74</v>
      </c>
      <c r="I31" s="511">
        <v>420</v>
      </c>
      <c r="J31" s="514">
        <v>31.82</v>
      </c>
      <c r="K31" s="504">
        <f t="shared" si="1"/>
        <v>2258</v>
      </c>
      <c r="L31" s="505">
        <f t="shared" si="0"/>
        <v>54.410000000000004</v>
      </c>
    </row>
    <row r="32" spans="1:13" ht="15" customHeight="1">
      <c r="A32" s="31"/>
      <c r="B32" s="516" t="s">
        <v>590</v>
      </c>
      <c r="C32" s="517">
        <f aca="true" t="shared" si="2" ref="C32:L32">SUM(C5:C31)</f>
        <v>4214.99</v>
      </c>
      <c r="D32" s="517">
        <f t="shared" si="2"/>
        <v>2746.2600000000007</v>
      </c>
      <c r="E32" s="339">
        <f t="shared" si="2"/>
        <v>23635</v>
      </c>
      <c r="F32" s="517">
        <f t="shared" si="2"/>
        <v>78.92</v>
      </c>
      <c r="G32" s="339">
        <f t="shared" si="2"/>
        <v>15346</v>
      </c>
      <c r="H32" s="517">
        <f t="shared" si="2"/>
        <v>363.46999999999997</v>
      </c>
      <c r="I32" s="339">
        <f t="shared" si="2"/>
        <v>4247</v>
      </c>
      <c r="J32" s="517">
        <f t="shared" si="2"/>
        <v>352.18999999999994</v>
      </c>
      <c r="K32" s="339">
        <f t="shared" si="2"/>
        <v>38998</v>
      </c>
      <c r="L32" s="517">
        <f t="shared" si="2"/>
        <v>794.5799999999999</v>
      </c>
      <c r="M32" s="510"/>
    </row>
    <row r="33" spans="1:13" ht="15" customHeight="1">
      <c r="A33" s="31">
        <v>28</v>
      </c>
      <c r="B33" s="501" t="s">
        <v>49</v>
      </c>
      <c r="C33" s="502">
        <v>240</v>
      </c>
      <c r="D33" s="502">
        <v>179.18</v>
      </c>
      <c r="E33" s="503">
        <v>22981</v>
      </c>
      <c r="F33" s="502">
        <v>45.04</v>
      </c>
      <c r="G33" s="503">
        <v>13</v>
      </c>
      <c r="H33" s="502">
        <v>0.54</v>
      </c>
      <c r="I33" s="503">
        <v>14</v>
      </c>
      <c r="J33" s="502">
        <v>1.1</v>
      </c>
      <c r="K33" s="504">
        <f>E33+G33+I33</f>
        <v>23008</v>
      </c>
      <c r="L33" s="505">
        <f>F33+H33+J33</f>
        <v>46.68</v>
      </c>
      <c r="M33" s="512"/>
    </row>
    <row r="34" spans="1:13" ht="15" customHeight="1">
      <c r="A34" s="31">
        <v>29</v>
      </c>
      <c r="B34" s="506" t="s">
        <v>53</v>
      </c>
      <c r="C34" s="507"/>
      <c r="D34" s="502">
        <v>0</v>
      </c>
      <c r="E34" s="503">
        <v>0</v>
      </c>
      <c r="F34" s="502">
        <v>0</v>
      </c>
      <c r="G34" s="503">
        <v>0</v>
      </c>
      <c r="H34" s="502">
        <v>0</v>
      </c>
      <c r="I34" s="503">
        <v>0</v>
      </c>
      <c r="J34" s="502">
        <v>0</v>
      </c>
      <c r="K34" s="504">
        <f aca="true" t="shared" si="3" ref="K34:K51">E34+G34+I34</f>
        <v>0</v>
      </c>
      <c r="L34" s="502">
        <v>0</v>
      </c>
      <c r="M34" s="510"/>
    </row>
    <row r="35" spans="1:13" ht="15" customHeight="1">
      <c r="A35" s="31">
        <v>30</v>
      </c>
      <c r="B35" s="501" t="s">
        <v>258</v>
      </c>
      <c r="C35" s="502"/>
      <c r="D35" s="502">
        <v>0</v>
      </c>
      <c r="E35" s="503">
        <v>0</v>
      </c>
      <c r="F35" s="502">
        <v>0</v>
      </c>
      <c r="G35" s="503">
        <v>0</v>
      </c>
      <c r="H35" s="502">
        <v>0</v>
      </c>
      <c r="I35" s="503">
        <v>0</v>
      </c>
      <c r="J35" s="502">
        <v>0</v>
      </c>
      <c r="K35" s="504">
        <f t="shared" si="3"/>
        <v>0</v>
      </c>
      <c r="L35" s="502">
        <v>0</v>
      </c>
      <c r="M35" s="512"/>
    </row>
    <row r="36" spans="1:13" ht="15" customHeight="1">
      <c r="A36" s="31">
        <v>31</v>
      </c>
      <c r="B36" s="506" t="s">
        <v>73</v>
      </c>
      <c r="C36" s="507">
        <v>257.08</v>
      </c>
      <c r="D36" s="502">
        <v>241.53</v>
      </c>
      <c r="E36" s="503">
        <v>12807</v>
      </c>
      <c r="F36" s="502">
        <v>43.08</v>
      </c>
      <c r="G36" s="503">
        <v>9</v>
      </c>
      <c r="H36" s="502">
        <v>53</v>
      </c>
      <c r="I36" s="503">
        <v>11</v>
      </c>
      <c r="J36" s="502">
        <v>1.16</v>
      </c>
      <c r="K36" s="504">
        <f t="shared" si="3"/>
        <v>12827</v>
      </c>
      <c r="L36" s="505">
        <f>F36+H36+J36</f>
        <v>97.24</v>
      </c>
      <c r="M36" s="510"/>
    </row>
    <row r="37" spans="1:13" ht="15" customHeight="1">
      <c r="A37" s="31">
        <v>32</v>
      </c>
      <c r="B37" s="501" t="s">
        <v>74</v>
      </c>
      <c r="C37" s="502"/>
      <c r="D37" s="502">
        <v>57</v>
      </c>
      <c r="E37" s="503">
        <v>15283</v>
      </c>
      <c r="F37" s="502">
        <v>21.18</v>
      </c>
      <c r="G37" s="503">
        <v>1568</v>
      </c>
      <c r="H37" s="502">
        <v>15.36</v>
      </c>
      <c r="I37" s="503">
        <v>484</v>
      </c>
      <c r="J37" s="502">
        <v>20.47</v>
      </c>
      <c r="K37" s="504">
        <f t="shared" si="3"/>
        <v>17335</v>
      </c>
      <c r="L37" s="505">
        <v>57.01</v>
      </c>
      <c r="M37" s="512"/>
    </row>
    <row r="38" spans="1:13" ht="15" customHeight="1">
      <c r="A38" s="31">
        <v>33</v>
      </c>
      <c r="B38" s="506" t="s">
        <v>261</v>
      </c>
      <c r="C38" s="507"/>
      <c r="D38" s="502">
        <v>0</v>
      </c>
      <c r="E38" s="503">
        <v>0</v>
      </c>
      <c r="F38" s="502">
        <v>0</v>
      </c>
      <c r="G38" s="503">
        <v>0</v>
      </c>
      <c r="H38" s="502">
        <v>0</v>
      </c>
      <c r="I38" s="503">
        <v>0</v>
      </c>
      <c r="J38" s="502">
        <v>0</v>
      </c>
      <c r="K38" s="504">
        <f t="shared" si="3"/>
        <v>0</v>
      </c>
      <c r="L38" s="505">
        <v>0</v>
      </c>
      <c r="M38" s="518"/>
    </row>
    <row r="39" spans="1:13" ht="15" customHeight="1">
      <c r="A39" s="31">
        <v>34</v>
      </c>
      <c r="B39" s="501" t="s">
        <v>591</v>
      </c>
      <c r="C39" s="502"/>
      <c r="D39" s="502">
        <v>0</v>
      </c>
      <c r="E39" s="503">
        <v>0</v>
      </c>
      <c r="F39" s="502">
        <v>0</v>
      </c>
      <c r="G39" s="503">
        <v>0</v>
      </c>
      <c r="H39" s="502">
        <v>0</v>
      </c>
      <c r="I39" s="503">
        <v>0</v>
      </c>
      <c r="J39" s="502">
        <v>0</v>
      </c>
      <c r="K39" s="504">
        <f t="shared" si="3"/>
        <v>0</v>
      </c>
      <c r="L39" s="505">
        <v>0</v>
      </c>
      <c r="M39" s="512"/>
    </row>
    <row r="40" spans="1:13" ht="15" customHeight="1">
      <c r="A40" s="31">
        <v>35</v>
      </c>
      <c r="B40" s="506" t="s">
        <v>263</v>
      </c>
      <c r="C40" s="507"/>
      <c r="D40" s="502">
        <v>0</v>
      </c>
      <c r="E40" s="503">
        <v>0</v>
      </c>
      <c r="F40" s="502">
        <v>0</v>
      </c>
      <c r="G40" s="503">
        <v>0</v>
      </c>
      <c r="H40" s="502">
        <v>0</v>
      </c>
      <c r="I40" s="503">
        <v>0</v>
      </c>
      <c r="J40" s="502">
        <v>0</v>
      </c>
      <c r="K40" s="504">
        <f t="shared" si="3"/>
        <v>0</v>
      </c>
      <c r="L40" s="505">
        <v>0</v>
      </c>
      <c r="M40" s="510"/>
    </row>
    <row r="41" spans="1:13" ht="15" customHeight="1">
      <c r="A41" s="31">
        <v>36</v>
      </c>
      <c r="B41" s="501" t="s">
        <v>75</v>
      </c>
      <c r="C41" s="502"/>
      <c r="D41" s="502">
        <v>0</v>
      </c>
      <c r="E41" s="503">
        <v>0</v>
      </c>
      <c r="F41" s="502">
        <v>0</v>
      </c>
      <c r="G41" s="503">
        <v>0</v>
      </c>
      <c r="H41" s="502">
        <v>0</v>
      </c>
      <c r="I41" s="503">
        <v>0</v>
      </c>
      <c r="J41" s="502">
        <v>0</v>
      </c>
      <c r="K41" s="504">
        <f t="shared" si="3"/>
        <v>0</v>
      </c>
      <c r="L41" s="505">
        <v>0</v>
      </c>
      <c r="M41" s="512"/>
    </row>
    <row r="42" spans="1:13" ht="15" customHeight="1">
      <c r="A42" s="31">
        <v>37</v>
      </c>
      <c r="B42" s="506" t="s">
        <v>265</v>
      </c>
      <c r="C42" s="507"/>
      <c r="D42" s="502">
        <v>0</v>
      </c>
      <c r="E42" s="503">
        <v>0</v>
      </c>
      <c r="F42" s="502">
        <v>0</v>
      </c>
      <c r="G42" s="503">
        <v>0</v>
      </c>
      <c r="H42" s="502">
        <v>0</v>
      </c>
      <c r="I42" s="503">
        <v>0</v>
      </c>
      <c r="J42" s="502">
        <v>0</v>
      </c>
      <c r="K42" s="504">
        <f t="shared" si="3"/>
        <v>0</v>
      </c>
      <c r="L42" s="505">
        <v>0</v>
      </c>
      <c r="M42" s="510"/>
    </row>
    <row r="43" spans="1:13" ht="15" customHeight="1">
      <c r="A43" s="31">
        <v>38</v>
      </c>
      <c r="B43" s="501" t="s">
        <v>76</v>
      </c>
      <c r="C43" s="502"/>
      <c r="D43" s="502">
        <v>0.11</v>
      </c>
      <c r="E43" s="503">
        <v>0</v>
      </c>
      <c r="F43" s="502">
        <v>0</v>
      </c>
      <c r="G43" s="503">
        <v>0</v>
      </c>
      <c r="H43" s="502">
        <v>0</v>
      </c>
      <c r="I43" s="503">
        <v>0</v>
      </c>
      <c r="J43" s="502">
        <v>0</v>
      </c>
      <c r="K43" s="504">
        <f t="shared" si="3"/>
        <v>0</v>
      </c>
      <c r="L43" s="505">
        <v>0</v>
      </c>
      <c r="M43" s="512"/>
    </row>
    <row r="44" spans="1:13" ht="15" customHeight="1">
      <c r="A44" s="31">
        <v>39</v>
      </c>
      <c r="B44" s="506" t="s">
        <v>592</v>
      </c>
      <c r="C44" s="507"/>
      <c r="D44" s="502">
        <v>0</v>
      </c>
      <c r="E44" s="503">
        <v>0</v>
      </c>
      <c r="F44" s="502">
        <v>0</v>
      </c>
      <c r="G44" s="503">
        <v>0</v>
      </c>
      <c r="H44" s="502">
        <v>0</v>
      </c>
      <c r="I44" s="503">
        <v>0</v>
      </c>
      <c r="J44" s="502">
        <v>0</v>
      </c>
      <c r="K44" s="504">
        <f t="shared" si="3"/>
        <v>0</v>
      </c>
      <c r="L44" s="505">
        <v>0</v>
      </c>
      <c r="M44" s="510"/>
    </row>
    <row r="45" spans="1:13" ht="15" customHeight="1">
      <c r="A45" s="31">
        <v>40</v>
      </c>
      <c r="B45" s="501" t="s">
        <v>593</v>
      </c>
      <c r="C45" s="502"/>
      <c r="D45" s="502">
        <v>0</v>
      </c>
      <c r="E45" s="503">
        <v>0</v>
      </c>
      <c r="F45" s="502">
        <v>0</v>
      </c>
      <c r="G45" s="503">
        <v>0</v>
      </c>
      <c r="H45" s="502">
        <v>0</v>
      </c>
      <c r="I45" s="503">
        <v>0</v>
      </c>
      <c r="J45" s="502">
        <v>0</v>
      </c>
      <c r="K45" s="504">
        <f t="shared" si="3"/>
        <v>0</v>
      </c>
      <c r="L45" s="505">
        <v>0</v>
      </c>
      <c r="M45" s="512"/>
    </row>
    <row r="46" spans="1:13" ht="15" customHeight="1">
      <c r="A46" s="31">
        <v>41</v>
      </c>
      <c r="B46" s="506" t="s">
        <v>594</v>
      </c>
      <c r="C46" s="507"/>
      <c r="D46" s="502">
        <v>0.74</v>
      </c>
      <c r="E46" s="503">
        <v>49</v>
      </c>
      <c r="F46" s="502">
        <v>0.086</v>
      </c>
      <c r="G46" s="503">
        <v>132</v>
      </c>
      <c r="H46" s="502">
        <v>3.79</v>
      </c>
      <c r="I46" s="503">
        <v>26</v>
      </c>
      <c r="J46" s="502">
        <v>2.01</v>
      </c>
      <c r="K46" s="504">
        <f t="shared" si="3"/>
        <v>207</v>
      </c>
      <c r="L46" s="505">
        <v>57.01</v>
      </c>
      <c r="M46" s="510"/>
    </row>
    <row r="47" spans="1:13" ht="15" customHeight="1">
      <c r="A47" s="31">
        <v>42</v>
      </c>
      <c r="B47" s="501" t="s">
        <v>78</v>
      </c>
      <c r="C47" s="502"/>
      <c r="D47" s="502">
        <v>0</v>
      </c>
      <c r="E47" s="503">
        <v>0</v>
      </c>
      <c r="F47" s="502">
        <v>0</v>
      </c>
      <c r="G47" s="503">
        <v>0</v>
      </c>
      <c r="H47" s="502">
        <v>0</v>
      </c>
      <c r="I47" s="503">
        <v>0</v>
      </c>
      <c r="J47" s="502">
        <v>0</v>
      </c>
      <c r="K47" s="504">
        <f t="shared" si="3"/>
        <v>0</v>
      </c>
      <c r="L47" s="502">
        <v>0</v>
      </c>
      <c r="M47" s="512"/>
    </row>
    <row r="48" spans="1:13" ht="15" customHeight="1">
      <c r="A48" s="31">
        <v>43</v>
      </c>
      <c r="B48" s="506" t="s">
        <v>595</v>
      </c>
      <c r="C48" s="507"/>
      <c r="D48" s="502">
        <v>0</v>
      </c>
      <c r="E48" s="503">
        <v>0</v>
      </c>
      <c r="F48" s="502">
        <v>0</v>
      </c>
      <c r="G48" s="503">
        <v>0</v>
      </c>
      <c r="H48" s="502">
        <v>0</v>
      </c>
      <c r="I48" s="503">
        <v>0</v>
      </c>
      <c r="J48" s="502">
        <v>0</v>
      </c>
      <c r="K48" s="504">
        <f t="shared" si="3"/>
        <v>0</v>
      </c>
      <c r="L48" s="502">
        <v>0</v>
      </c>
      <c r="M48" s="510"/>
    </row>
    <row r="49" spans="1:13" ht="15" customHeight="1">
      <c r="A49" s="31">
        <v>44</v>
      </c>
      <c r="B49" s="501" t="s">
        <v>79</v>
      </c>
      <c r="C49" s="502"/>
      <c r="D49" s="502">
        <v>0</v>
      </c>
      <c r="E49" s="503">
        <v>0</v>
      </c>
      <c r="F49" s="502">
        <v>0</v>
      </c>
      <c r="G49" s="503">
        <v>0</v>
      </c>
      <c r="H49" s="502">
        <v>0</v>
      </c>
      <c r="I49" s="503">
        <v>0</v>
      </c>
      <c r="J49" s="502">
        <v>0</v>
      </c>
      <c r="K49" s="504">
        <f t="shared" si="3"/>
        <v>0</v>
      </c>
      <c r="L49" s="502">
        <v>0</v>
      </c>
      <c r="M49" s="512"/>
    </row>
    <row r="50" spans="1:13" ht="15" customHeight="1">
      <c r="A50" s="31">
        <v>45</v>
      </c>
      <c r="B50" s="506" t="s">
        <v>80</v>
      </c>
      <c r="C50" s="507"/>
      <c r="D50" s="502">
        <v>0</v>
      </c>
      <c r="E50" s="503">
        <v>0</v>
      </c>
      <c r="F50" s="502">
        <v>0</v>
      </c>
      <c r="G50" s="503">
        <v>0</v>
      </c>
      <c r="H50" s="502">
        <v>0</v>
      </c>
      <c r="I50" s="503">
        <v>0</v>
      </c>
      <c r="J50" s="502">
        <v>0</v>
      </c>
      <c r="K50" s="504">
        <f t="shared" si="3"/>
        <v>0</v>
      </c>
      <c r="L50" s="502">
        <v>0</v>
      </c>
      <c r="M50" s="510"/>
    </row>
    <row r="51" spans="1:13" ht="15" customHeight="1">
      <c r="A51" s="31">
        <v>46</v>
      </c>
      <c r="B51" s="501" t="s">
        <v>300</v>
      </c>
      <c r="C51" s="502"/>
      <c r="D51" s="502">
        <v>0</v>
      </c>
      <c r="E51" s="503">
        <v>0</v>
      </c>
      <c r="F51" s="502">
        <v>0</v>
      </c>
      <c r="G51" s="503">
        <v>0</v>
      </c>
      <c r="H51" s="502">
        <v>0</v>
      </c>
      <c r="I51" s="503">
        <v>0</v>
      </c>
      <c r="J51" s="502">
        <v>0</v>
      </c>
      <c r="K51" s="504">
        <f t="shared" si="3"/>
        <v>0</v>
      </c>
      <c r="L51" s="502">
        <v>0</v>
      </c>
      <c r="M51" s="512"/>
    </row>
    <row r="52" spans="1:13" ht="15" customHeight="1">
      <c r="A52" s="31"/>
      <c r="B52" s="516" t="s">
        <v>596</v>
      </c>
      <c r="C52" s="517">
        <v>117</v>
      </c>
      <c r="D52" s="519">
        <f aca="true" t="shared" si="4" ref="D52:L52">SUM(D33:D51)</f>
        <v>478.56000000000006</v>
      </c>
      <c r="E52" s="520">
        <f t="shared" si="4"/>
        <v>51120</v>
      </c>
      <c r="F52" s="519">
        <f t="shared" si="4"/>
        <v>109.38600000000001</v>
      </c>
      <c r="G52" s="520">
        <f t="shared" si="4"/>
        <v>1722</v>
      </c>
      <c r="H52" s="519">
        <f t="shared" si="4"/>
        <v>72.69000000000001</v>
      </c>
      <c r="I52" s="520">
        <f t="shared" si="4"/>
        <v>535</v>
      </c>
      <c r="J52" s="519">
        <f t="shared" si="4"/>
        <v>24.739999999999995</v>
      </c>
      <c r="K52" s="520">
        <f t="shared" si="4"/>
        <v>53377</v>
      </c>
      <c r="L52" s="519">
        <f t="shared" si="4"/>
        <v>257.94</v>
      </c>
      <c r="M52" s="510"/>
    </row>
    <row r="53" spans="1:13" ht="15" customHeight="1">
      <c r="A53" s="31">
        <v>47</v>
      </c>
      <c r="B53" s="501" t="s">
        <v>269</v>
      </c>
      <c r="C53" s="502">
        <v>150</v>
      </c>
      <c r="D53" s="502">
        <v>107.62</v>
      </c>
      <c r="E53" s="511">
        <v>8375</v>
      </c>
      <c r="F53" s="514">
        <v>23.6</v>
      </c>
      <c r="G53" s="511">
        <v>2446</v>
      </c>
      <c r="H53" s="514">
        <v>41.93</v>
      </c>
      <c r="I53" s="511">
        <v>87</v>
      </c>
      <c r="J53" s="514">
        <v>6.58</v>
      </c>
      <c r="K53" s="511">
        <f>I53+G53+E53</f>
        <v>10908</v>
      </c>
      <c r="L53" s="521">
        <f>F53+H53+J53</f>
        <v>72.11</v>
      </c>
      <c r="M53" s="515"/>
    </row>
    <row r="54" spans="1:13" ht="15" customHeight="1">
      <c r="A54" s="31">
        <v>48</v>
      </c>
      <c r="B54" s="506" t="s">
        <v>48</v>
      </c>
      <c r="C54" s="507">
        <v>282</v>
      </c>
      <c r="D54" s="502">
        <v>75.09</v>
      </c>
      <c r="E54" s="503">
        <v>642</v>
      </c>
      <c r="F54" s="502">
        <v>2.58</v>
      </c>
      <c r="G54" s="503">
        <v>88</v>
      </c>
      <c r="H54" s="502">
        <v>2.13</v>
      </c>
      <c r="I54" s="503">
        <v>45</v>
      </c>
      <c r="J54" s="502">
        <v>3.18</v>
      </c>
      <c r="K54" s="511">
        <f>I54+G54+E54</f>
        <v>775</v>
      </c>
      <c r="L54" s="505">
        <f>F54+H54+J54</f>
        <v>7.890000000000001</v>
      </c>
      <c r="M54" s="522"/>
    </row>
    <row r="55" spans="1:13" ht="15" customHeight="1">
      <c r="A55" s="31">
        <v>49</v>
      </c>
      <c r="B55" s="501" t="s">
        <v>54</v>
      </c>
      <c r="C55" s="502">
        <v>250</v>
      </c>
      <c r="D55" s="502">
        <v>173.07</v>
      </c>
      <c r="E55" s="503">
        <v>1272</v>
      </c>
      <c r="F55" s="502">
        <v>5.6</v>
      </c>
      <c r="G55" s="503">
        <v>1120</v>
      </c>
      <c r="H55" s="502">
        <v>17.92</v>
      </c>
      <c r="I55" s="503">
        <v>71</v>
      </c>
      <c r="J55" s="502">
        <v>4.8</v>
      </c>
      <c r="K55" s="511">
        <f>I55+G55+E55</f>
        <v>2463</v>
      </c>
      <c r="L55" s="505">
        <f>F55+H55+J55</f>
        <v>28.320000000000004</v>
      </c>
      <c r="M55" s="512"/>
    </row>
    <row r="56" spans="1:13" ht="15" customHeight="1">
      <c r="A56" s="31"/>
      <c r="B56" s="516" t="s">
        <v>597</v>
      </c>
      <c r="C56" s="517">
        <f aca="true" t="shared" si="5" ref="C56:L56">SUM(C53:C55)</f>
        <v>682</v>
      </c>
      <c r="D56" s="517">
        <f t="shared" si="5"/>
        <v>355.78</v>
      </c>
      <c r="E56" s="339">
        <f t="shared" si="5"/>
        <v>10289</v>
      </c>
      <c r="F56" s="517">
        <f t="shared" si="5"/>
        <v>31.78</v>
      </c>
      <c r="G56" s="339">
        <f t="shared" si="5"/>
        <v>3654</v>
      </c>
      <c r="H56" s="517">
        <f t="shared" si="5"/>
        <v>61.980000000000004</v>
      </c>
      <c r="I56" s="339">
        <f t="shared" si="5"/>
        <v>203</v>
      </c>
      <c r="J56" s="517">
        <f t="shared" si="5"/>
        <v>14.559999999999999</v>
      </c>
      <c r="K56" s="339">
        <f t="shared" si="5"/>
        <v>14146</v>
      </c>
      <c r="L56" s="517">
        <f t="shared" si="5"/>
        <v>108.32000000000001</v>
      </c>
      <c r="M56" s="523"/>
    </row>
    <row r="57" spans="1:13" ht="15" customHeight="1">
      <c r="A57" s="524"/>
      <c r="B57" s="525" t="s">
        <v>598</v>
      </c>
      <c r="C57" s="526">
        <f>C56+C52+C32</f>
        <v>5013.99</v>
      </c>
      <c r="D57" s="526">
        <f aca="true" t="shared" si="6" ref="D57:L57">D56+D52+D32</f>
        <v>3580.600000000001</v>
      </c>
      <c r="E57" s="527">
        <f t="shared" si="6"/>
        <v>85044</v>
      </c>
      <c r="F57" s="526">
        <f t="shared" si="6"/>
        <v>220.086</v>
      </c>
      <c r="G57" s="527">
        <f t="shared" si="6"/>
        <v>20722</v>
      </c>
      <c r="H57" s="526">
        <f t="shared" si="6"/>
        <v>498.14</v>
      </c>
      <c r="I57" s="527">
        <f t="shared" si="6"/>
        <v>4985</v>
      </c>
      <c r="J57" s="526">
        <f t="shared" si="6"/>
        <v>391.48999999999995</v>
      </c>
      <c r="K57" s="527">
        <f t="shared" si="6"/>
        <v>106521</v>
      </c>
      <c r="L57" s="526">
        <f t="shared" si="6"/>
        <v>1160.84</v>
      </c>
      <c r="M57" s="523"/>
    </row>
    <row r="58" spans="2:13" ht="15.75">
      <c r="B58" s="528"/>
      <c r="C58" s="529"/>
      <c r="D58" s="529"/>
      <c r="L58" s="529"/>
      <c r="M58" s="523"/>
    </row>
    <row r="59" spans="2:13" ht="15.75">
      <c r="B59" s="528"/>
      <c r="C59" s="530"/>
      <c r="D59" s="509"/>
      <c r="M59" s="523"/>
    </row>
    <row r="60" spans="4:13" ht="15">
      <c r="D60" s="509"/>
      <c r="M60" s="523"/>
    </row>
    <row r="61" spans="3:13" ht="15">
      <c r="C61" s="529"/>
      <c r="D61" s="529"/>
      <c r="E61" s="531"/>
      <c r="F61" s="529"/>
      <c r="M61" s="523"/>
    </row>
    <row r="62" ht="15">
      <c r="M62" s="523"/>
    </row>
    <row r="63" ht="15">
      <c r="M63" s="523"/>
    </row>
  </sheetData>
  <sheetProtection/>
  <mergeCells count="11">
    <mergeCell ref="I3:J3"/>
    <mergeCell ref="K3:L3"/>
    <mergeCell ref="A1:F1"/>
    <mergeCell ref="A2:F2"/>
    <mergeCell ref="J2:L2"/>
    <mergeCell ref="A3:A4"/>
    <mergeCell ref="B3:B4"/>
    <mergeCell ref="C3:C4"/>
    <mergeCell ref="D3:D4"/>
    <mergeCell ref="E3:F3"/>
    <mergeCell ref="G3:H3"/>
  </mergeCells>
  <conditionalFormatting sqref="M10">
    <cfRule type="duplicateValues" priority="6" dxfId="197">
      <formula>AND(COUNTIF($M$10:$M$10,M10)&gt;1,NOT(ISBLANK(M10)))</formula>
    </cfRule>
  </conditionalFormatting>
  <conditionalFormatting sqref="M14">
    <cfRule type="duplicateValues" priority="5" dxfId="197">
      <formula>AND(COUNTIF($M$14:$M$14,M14)&gt;1,NOT(ISBLANK(M14)))</formula>
    </cfRule>
  </conditionalFormatting>
  <conditionalFormatting sqref="M19">
    <cfRule type="duplicateValues" priority="4" dxfId="197">
      <formula>AND(COUNTIF($M$19:$M$19,M19)&gt;1,NOT(ISBLANK(M19)))</formula>
    </cfRule>
  </conditionalFormatting>
  <conditionalFormatting sqref="M24">
    <cfRule type="duplicateValues" priority="3" dxfId="197">
      <formula>AND(COUNTIF($M$24:$M$24,M24)&gt;1,NOT(ISBLANK(M24)))</formula>
    </cfRule>
  </conditionalFormatting>
  <conditionalFormatting sqref="E19">
    <cfRule type="duplicateValues" priority="2" dxfId="197">
      <formula>AND(COUNTIF($E$19:$E$19,E19)&gt;1,NOT(ISBLANK(E19)))</formula>
    </cfRule>
  </conditionalFormatting>
  <conditionalFormatting sqref="E54">
    <cfRule type="duplicateValues" priority="1" dxfId="197">
      <formula>AND(COUNTIF($E$54:$E$54,E54)&gt;1,NOT(ISBLANK(E54)))</formula>
    </cfRule>
  </conditionalFormatting>
  <conditionalFormatting sqref="M20:M23 M11:M12 M15:M18 M25:M30 M32:M62 E31">
    <cfRule type="duplicateValues" priority="7" dxfId="197">
      <formula>AND(COUNTIF($M$20:$M$23,E11)+COUNTIF($M$11:$M$12,E11)+COUNTIF($M$15:$M$18,E11)+COUNTIF($M$25:$M$30,E11)+COUNTIF($M$32:$M$62,E11)+COUNTIF($E$31:$E$31,E11)&gt;1,NOT(ISBLANK(E11)))</formula>
    </cfRule>
  </conditionalFormatting>
  <conditionalFormatting sqref="B5:C56 D32:L32 D56:L56">
    <cfRule type="duplicateValues" priority="8" dxfId="197">
      <formula>AND(COUNTIF($B$5:$C$56,B5)+COUNTIF($D$32:$L$32,B5)+COUNTIF($D$56:$L$56,B5)&gt;1,NOT(ISBLANK(B5)))</formula>
    </cfRule>
  </conditionalFormatting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6" sqref="L6"/>
    </sheetView>
  </sheetViews>
  <sheetFormatPr defaultColWidth="9.140625" defaultRowHeight="12.75"/>
  <cols>
    <col min="1" max="1" width="5.421875" style="493" customWidth="1"/>
    <col min="2" max="2" width="25.28125" style="3" customWidth="1"/>
    <col min="3" max="3" width="9.00390625" style="3" bestFit="1" customWidth="1"/>
    <col min="4" max="4" width="9.140625" style="3" bestFit="1" customWidth="1"/>
    <col min="5" max="5" width="9.57421875" style="3" customWidth="1"/>
    <col min="6" max="6" width="11.28125" style="495" bestFit="1" customWidth="1"/>
    <col min="7" max="9" width="9.140625" style="3" customWidth="1"/>
    <col min="10" max="10" width="8.57421875" style="532" customWidth="1"/>
    <col min="11" max="11" width="13.8515625" style="3" customWidth="1"/>
    <col min="12" max="16384" width="9.140625" style="3" customWidth="1"/>
  </cols>
  <sheetData>
    <row r="1" spans="1:6" ht="15">
      <c r="A1" s="701" t="s">
        <v>599</v>
      </c>
      <c r="B1" s="702"/>
      <c r="C1" s="702"/>
      <c r="D1" s="702"/>
      <c r="E1" s="702"/>
      <c r="F1" s="702"/>
    </row>
    <row r="2" spans="1:11" ht="17.25" customHeight="1">
      <c r="A2" s="455" t="s">
        <v>272</v>
      </c>
      <c r="B2" s="455" t="s">
        <v>564</v>
      </c>
      <c r="C2" s="533" t="s">
        <v>600</v>
      </c>
      <c r="D2" s="533" t="s">
        <v>242</v>
      </c>
      <c r="E2" s="533" t="s">
        <v>601</v>
      </c>
      <c r="F2" s="533" t="s">
        <v>0</v>
      </c>
      <c r="G2" s="533" t="s">
        <v>600</v>
      </c>
      <c r="H2" s="533" t="s">
        <v>242</v>
      </c>
      <c r="I2" s="533" t="s">
        <v>601</v>
      </c>
      <c r="J2" s="534" t="s">
        <v>0</v>
      </c>
      <c r="K2" s="710"/>
    </row>
    <row r="3" spans="1:11" ht="15">
      <c r="A3" s="455"/>
      <c r="B3" s="455"/>
      <c r="C3" s="711" t="s">
        <v>602</v>
      </c>
      <c r="D3" s="712"/>
      <c r="E3" s="712"/>
      <c r="F3" s="713"/>
      <c r="G3" s="711" t="s">
        <v>603</v>
      </c>
      <c r="H3" s="712"/>
      <c r="I3" s="712"/>
      <c r="J3" s="713"/>
      <c r="K3" s="710"/>
    </row>
    <row r="4" spans="1:18" ht="15">
      <c r="A4" s="458">
        <v>1</v>
      </c>
      <c r="B4" s="459" t="s">
        <v>57</v>
      </c>
      <c r="C4" s="460">
        <v>3</v>
      </c>
      <c r="D4" s="460">
        <v>0</v>
      </c>
      <c r="E4" s="460">
        <v>16</v>
      </c>
      <c r="F4" s="477">
        <f>E4+D4+C4</f>
        <v>19</v>
      </c>
      <c r="G4" s="460">
        <v>1.1</v>
      </c>
      <c r="H4" s="460">
        <v>0</v>
      </c>
      <c r="I4" s="460">
        <v>5.39</v>
      </c>
      <c r="J4" s="535">
        <f>I4+H4+G4</f>
        <v>6.49</v>
      </c>
      <c r="K4" s="462"/>
      <c r="L4" s="462"/>
      <c r="M4" s="462"/>
      <c r="N4" s="462"/>
      <c r="O4" s="462"/>
      <c r="P4" s="462"/>
      <c r="Q4" s="462"/>
      <c r="R4" s="462"/>
    </row>
    <row r="5" spans="1:18" ht="15">
      <c r="A5" s="458">
        <v>2</v>
      </c>
      <c r="B5" s="459" t="s">
        <v>58</v>
      </c>
      <c r="C5" s="536">
        <v>1</v>
      </c>
      <c r="D5" s="536">
        <v>0</v>
      </c>
      <c r="E5" s="460">
        <v>9</v>
      </c>
      <c r="F5" s="477">
        <f aca="true" t="shared" si="0" ref="F5:F29">E5+D5+C5</f>
        <v>10</v>
      </c>
      <c r="G5" s="536">
        <v>0.1</v>
      </c>
      <c r="H5" s="536">
        <v>0</v>
      </c>
      <c r="I5" s="460">
        <v>0.95</v>
      </c>
      <c r="J5" s="535">
        <f aca="true" t="shared" si="1" ref="J5:J45">I5+H5+G5</f>
        <v>1.05</v>
      </c>
      <c r="K5" s="462"/>
      <c r="L5" s="462"/>
      <c r="M5" s="462"/>
      <c r="N5" s="462"/>
      <c r="O5" s="462"/>
      <c r="P5" s="462"/>
      <c r="Q5" s="462"/>
      <c r="R5" s="462"/>
    </row>
    <row r="6" spans="1:18" ht="15">
      <c r="A6" s="458">
        <v>3</v>
      </c>
      <c r="B6" s="537" t="s">
        <v>59</v>
      </c>
      <c r="C6" s="482">
        <v>5</v>
      </c>
      <c r="D6" s="482">
        <v>4</v>
      </c>
      <c r="E6" s="538">
        <v>11</v>
      </c>
      <c r="F6" s="539">
        <f t="shared" si="0"/>
        <v>20</v>
      </c>
      <c r="G6" s="482">
        <v>0.09</v>
      </c>
      <c r="H6" s="482">
        <v>0.99</v>
      </c>
      <c r="I6" s="538">
        <v>1.49</v>
      </c>
      <c r="J6" s="535">
        <f t="shared" si="1"/>
        <v>2.57</v>
      </c>
      <c r="K6" s="462"/>
      <c r="L6" s="462"/>
      <c r="M6" s="462"/>
      <c r="N6" s="462"/>
      <c r="O6" s="462"/>
      <c r="P6" s="462"/>
      <c r="Q6" s="462"/>
      <c r="R6" s="462"/>
    </row>
    <row r="7" spans="1:18" ht="15.75">
      <c r="A7" s="458">
        <v>4</v>
      </c>
      <c r="B7" s="459" t="s">
        <v>60</v>
      </c>
      <c r="C7" s="540">
        <v>13</v>
      </c>
      <c r="D7" s="540">
        <v>14</v>
      </c>
      <c r="E7" s="460">
        <v>31</v>
      </c>
      <c r="F7" s="477">
        <f t="shared" si="0"/>
        <v>58</v>
      </c>
      <c r="G7" s="540">
        <v>1.48</v>
      </c>
      <c r="H7" s="540">
        <v>1.57</v>
      </c>
      <c r="I7" s="460">
        <v>5.19</v>
      </c>
      <c r="J7" s="535">
        <f t="shared" si="1"/>
        <v>8.24</v>
      </c>
      <c r="K7" s="470"/>
      <c r="L7" s="470"/>
      <c r="M7" s="462"/>
      <c r="N7" s="462"/>
      <c r="O7" s="462"/>
      <c r="P7" s="462"/>
      <c r="Q7" s="462"/>
      <c r="R7" s="462"/>
    </row>
    <row r="8" spans="1:18" ht="15.75">
      <c r="A8" s="458">
        <v>5</v>
      </c>
      <c r="B8" s="459" t="s">
        <v>61</v>
      </c>
      <c r="C8" s="460">
        <v>2</v>
      </c>
      <c r="D8" s="460">
        <v>3</v>
      </c>
      <c r="E8" s="460">
        <v>2</v>
      </c>
      <c r="F8" s="477">
        <f t="shared" si="0"/>
        <v>7</v>
      </c>
      <c r="G8" s="460">
        <v>0.29</v>
      </c>
      <c r="H8" s="460">
        <v>0.5</v>
      </c>
      <c r="I8" s="460">
        <v>0.5</v>
      </c>
      <c r="J8" s="535">
        <f t="shared" si="1"/>
        <v>1.29</v>
      </c>
      <c r="K8" s="470"/>
      <c r="L8" s="470"/>
      <c r="M8" s="462"/>
      <c r="N8" s="462"/>
      <c r="O8" s="462"/>
      <c r="P8" s="462"/>
      <c r="Q8" s="462"/>
      <c r="R8" s="462"/>
    </row>
    <row r="9" spans="1:18" ht="15.75" customHeight="1">
      <c r="A9" s="458">
        <v>6</v>
      </c>
      <c r="B9" s="459" t="s">
        <v>62</v>
      </c>
      <c r="C9" s="460">
        <v>10</v>
      </c>
      <c r="D9" s="460">
        <v>7</v>
      </c>
      <c r="E9" s="460">
        <v>31</v>
      </c>
      <c r="F9" s="477">
        <f t="shared" si="0"/>
        <v>48</v>
      </c>
      <c r="G9" s="460">
        <v>1.68</v>
      </c>
      <c r="H9" s="460">
        <v>0.71</v>
      </c>
      <c r="I9" s="460">
        <v>4.72</v>
      </c>
      <c r="J9" s="535">
        <f t="shared" si="1"/>
        <v>7.109999999999999</v>
      </c>
      <c r="K9" s="470"/>
      <c r="L9" s="470"/>
      <c r="M9" s="462"/>
      <c r="N9" s="462"/>
      <c r="O9" s="462"/>
      <c r="P9" s="462"/>
      <c r="Q9" s="462"/>
      <c r="R9" s="462"/>
    </row>
    <row r="10" spans="1:18" ht="15">
      <c r="A10" s="458">
        <v>7</v>
      </c>
      <c r="B10" s="459" t="s">
        <v>63</v>
      </c>
      <c r="C10" s="460">
        <v>2</v>
      </c>
      <c r="D10" s="460">
        <v>1</v>
      </c>
      <c r="E10" s="460">
        <f>23+85</f>
        <v>108</v>
      </c>
      <c r="F10" s="477">
        <f t="shared" si="0"/>
        <v>111</v>
      </c>
      <c r="G10" s="460">
        <v>0.28</v>
      </c>
      <c r="H10" s="460">
        <v>0.11</v>
      </c>
      <c r="I10" s="460">
        <f>4.39+7.63</f>
        <v>12.02</v>
      </c>
      <c r="J10" s="535">
        <f t="shared" si="1"/>
        <v>12.409999999999998</v>
      </c>
      <c r="K10" s="462"/>
      <c r="L10" s="462"/>
      <c r="M10" s="462"/>
      <c r="N10" s="462"/>
      <c r="O10" s="462"/>
      <c r="P10" s="462"/>
      <c r="Q10" s="462"/>
      <c r="R10" s="462"/>
    </row>
    <row r="11" spans="1:18" ht="15">
      <c r="A11" s="458">
        <v>8</v>
      </c>
      <c r="B11" s="459" t="s">
        <v>50</v>
      </c>
      <c r="C11" s="460">
        <v>2</v>
      </c>
      <c r="D11" s="460">
        <v>0</v>
      </c>
      <c r="E11" s="460">
        <v>3</v>
      </c>
      <c r="F11" s="477">
        <f t="shared" si="0"/>
        <v>5</v>
      </c>
      <c r="G11" s="460">
        <v>0.25</v>
      </c>
      <c r="H11" s="460">
        <v>0</v>
      </c>
      <c r="I11" s="460">
        <v>0.31</v>
      </c>
      <c r="J11" s="535">
        <f t="shared" si="1"/>
        <v>0.56</v>
      </c>
      <c r="K11" s="541"/>
      <c r="L11" s="462"/>
      <c r="M11" s="462"/>
      <c r="N11" s="462"/>
      <c r="O11" s="462"/>
      <c r="P11" s="462"/>
      <c r="Q11" s="345"/>
      <c r="R11" s="462"/>
    </row>
    <row r="12" spans="1:18" ht="15">
      <c r="A12" s="458">
        <v>9</v>
      </c>
      <c r="B12" s="459" t="s">
        <v>51</v>
      </c>
      <c r="C12" s="460">
        <v>0</v>
      </c>
      <c r="D12" s="460">
        <v>0</v>
      </c>
      <c r="E12" s="460">
        <v>3</v>
      </c>
      <c r="F12" s="477">
        <f t="shared" si="0"/>
        <v>3</v>
      </c>
      <c r="G12" s="460">
        <v>0</v>
      </c>
      <c r="H12" s="460">
        <v>0</v>
      </c>
      <c r="I12" s="460">
        <v>1.66</v>
      </c>
      <c r="J12" s="535">
        <f t="shared" si="1"/>
        <v>1.66</v>
      </c>
      <c r="K12" s="462"/>
      <c r="L12" s="462"/>
      <c r="M12" s="462"/>
      <c r="N12" s="462"/>
      <c r="O12" s="462"/>
      <c r="P12" s="462"/>
      <c r="Q12" s="462"/>
      <c r="R12" s="462"/>
    </row>
    <row r="13" spans="1:18" ht="15">
      <c r="A13" s="458">
        <v>10</v>
      </c>
      <c r="B13" s="459" t="s">
        <v>568</v>
      </c>
      <c r="C13" s="460">
        <v>3</v>
      </c>
      <c r="D13" s="460">
        <v>1</v>
      </c>
      <c r="E13" s="460">
        <v>7</v>
      </c>
      <c r="F13" s="477">
        <f t="shared" si="0"/>
        <v>11</v>
      </c>
      <c r="G13" s="460">
        <v>0.35</v>
      </c>
      <c r="H13" s="460">
        <v>0.12</v>
      </c>
      <c r="I13" s="460">
        <v>0.84</v>
      </c>
      <c r="J13" s="535">
        <f t="shared" si="1"/>
        <v>1.31</v>
      </c>
      <c r="K13" s="462"/>
      <c r="L13" s="462"/>
      <c r="M13" s="462"/>
      <c r="N13" s="462"/>
      <c r="O13" s="462"/>
      <c r="P13" s="462"/>
      <c r="Q13" s="462"/>
      <c r="R13" s="462"/>
    </row>
    <row r="14" spans="1:18" ht="15.75" customHeight="1">
      <c r="A14" s="458">
        <v>11</v>
      </c>
      <c r="B14" s="459" t="s">
        <v>64</v>
      </c>
      <c r="C14" s="460">
        <v>1</v>
      </c>
      <c r="D14" s="460">
        <v>2</v>
      </c>
      <c r="E14" s="460">
        <v>2</v>
      </c>
      <c r="F14" s="477">
        <f t="shared" si="0"/>
        <v>5</v>
      </c>
      <c r="G14" s="460">
        <v>0.11</v>
      </c>
      <c r="H14" s="460">
        <v>0.21</v>
      </c>
      <c r="I14" s="460">
        <v>0.22</v>
      </c>
      <c r="J14" s="535">
        <f t="shared" si="1"/>
        <v>0.54</v>
      </c>
      <c r="K14" s="462"/>
      <c r="L14" s="462"/>
      <c r="M14" s="462"/>
      <c r="N14" s="462"/>
      <c r="O14" s="462"/>
      <c r="P14" s="462"/>
      <c r="Q14" s="462"/>
      <c r="R14" s="462"/>
    </row>
    <row r="15" spans="1:18" ht="15">
      <c r="A15" s="458">
        <v>12</v>
      </c>
      <c r="B15" s="459" t="s">
        <v>65</v>
      </c>
      <c r="C15" s="460">
        <v>4</v>
      </c>
      <c r="D15" s="460">
        <v>0</v>
      </c>
      <c r="E15" s="460">
        <v>15</v>
      </c>
      <c r="F15" s="477">
        <f t="shared" si="0"/>
        <v>19</v>
      </c>
      <c r="G15" s="460">
        <v>1.13</v>
      </c>
      <c r="H15" s="460">
        <v>0</v>
      </c>
      <c r="I15" s="460">
        <v>3.046</v>
      </c>
      <c r="J15" s="535">
        <f t="shared" si="1"/>
        <v>4.176</v>
      </c>
      <c r="K15" s="462"/>
      <c r="L15" s="462"/>
      <c r="M15" s="462"/>
      <c r="N15" s="462"/>
      <c r="O15" s="462"/>
      <c r="P15" s="462"/>
      <c r="Q15" s="462"/>
      <c r="R15" s="462"/>
    </row>
    <row r="16" spans="1:18" ht="15">
      <c r="A16" s="458">
        <v>13</v>
      </c>
      <c r="B16" s="459" t="s">
        <v>569</v>
      </c>
      <c r="C16" s="460">
        <v>0</v>
      </c>
      <c r="D16" s="460">
        <v>0</v>
      </c>
      <c r="E16" s="460">
        <v>0</v>
      </c>
      <c r="F16" s="477">
        <f t="shared" si="0"/>
        <v>0</v>
      </c>
      <c r="G16" s="460">
        <v>0</v>
      </c>
      <c r="H16" s="460">
        <v>0</v>
      </c>
      <c r="I16" s="460">
        <v>0</v>
      </c>
      <c r="J16" s="535">
        <f t="shared" si="1"/>
        <v>0</v>
      </c>
      <c r="K16" s="462"/>
      <c r="L16" s="462"/>
      <c r="M16" s="462"/>
      <c r="N16" s="462"/>
      <c r="O16" s="462"/>
      <c r="P16" s="462"/>
      <c r="Q16" s="462"/>
      <c r="R16" s="462"/>
    </row>
    <row r="17" spans="1:10" ht="15">
      <c r="A17" s="458">
        <v>14</v>
      </c>
      <c r="B17" s="459" t="s">
        <v>85</v>
      </c>
      <c r="C17" s="460">
        <v>0</v>
      </c>
      <c r="D17" s="460">
        <v>0</v>
      </c>
      <c r="E17" s="460">
        <v>0</v>
      </c>
      <c r="F17" s="477">
        <f t="shared" si="0"/>
        <v>0</v>
      </c>
      <c r="G17" s="460">
        <v>0</v>
      </c>
      <c r="H17" s="460">
        <v>0</v>
      </c>
      <c r="I17" s="460">
        <v>0</v>
      </c>
      <c r="J17" s="535">
        <f t="shared" si="1"/>
        <v>0</v>
      </c>
    </row>
    <row r="18" spans="1:10" ht="15">
      <c r="A18" s="458">
        <v>15</v>
      </c>
      <c r="B18" s="459" t="s">
        <v>66</v>
      </c>
      <c r="C18" s="475">
        <v>22</v>
      </c>
      <c r="D18" s="475">
        <v>4</v>
      </c>
      <c r="E18" s="475">
        <v>130</v>
      </c>
      <c r="F18" s="477">
        <f t="shared" si="0"/>
        <v>156</v>
      </c>
      <c r="G18" s="475">
        <v>3.27</v>
      </c>
      <c r="H18" s="475">
        <v>0.8</v>
      </c>
      <c r="I18" s="475">
        <v>2.57</v>
      </c>
      <c r="J18" s="535">
        <f t="shared" si="1"/>
        <v>6.640000000000001</v>
      </c>
    </row>
    <row r="19" spans="1:10" ht="15">
      <c r="A19" s="458">
        <v>16</v>
      </c>
      <c r="B19" s="459" t="s">
        <v>67</v>
      </c>
      <c r="C19" s="460">
        <v>0</v>
      </c>
      <c r="D19" s="460">
        <v>0</v>
      </c>
      <c r="E19" s="460">
        <v>0</v>
      </c>
      <c r="F19" s="477">
        <f t="shared" si="0"/>
        <v>0</v>
      </c>
      <c r="G19" s="460">
        <v>0</v>
      </c>
      <c r="H19" s="460">
        <v>0</v>
      </c>
      <c r="I19" s="460">
        <v>0</v>
      </c>
      <c r="J19" s="535">
        <f t="shared" si="1"/>
        <v>0</v>
      </c>
    </row>
    <row r="20" spans="1:10" ht="15">
      <c r="A20" s="458">
        <v>17</v>
      </c>
      <c r="B20" s="459" t="s">
        <v>82</v>
      </c>
      <c r="C20" s="460">
        <v>20</v>
      </c>
      <c r="D20" s="460">
        <v>3</v>
      </c>
      <c r="E20" s="460">
        <v>14</v>
      </c>
      <c r="F20" s="477">
        <f t="shared" si="0"/>
        <v>37</v>
      </c>
      <c r="G20" s="460">
        <v>2.15</v>
      </c>
      <c r="H20" s="535">
        <v>0.3</v>
      </c>
      <c r="I20" s="535">
        <v>1.5</v>
      </c>
      <c r="J20" s="535">
        <f t="shared" si="1"/>
        <v>3.95</v>
      </c>
    </row>
    <row r="21" spans="1:10" ht="15">
      <c r="A21" s="458">
        <v>18</v>
      </c>
      <c r="B21" s="459" t="s">
        <v>68</v>
      </c>
      <c r="C21" s="460">
        <v>14</v>
      </c>
      <c r="D21" s="460">
        <v>2</v>
      </c>
      <c r="E21" s="460">
        <v>38</v>
      </c>
      <c r="F21" s="477">
        <f t="shared" si="0"/>
        <v>54</v>
      </c>
      <c r="G21" s="460">
        <v>2.1</v>
      </c>
      <c r="H21" s="460">
        <v>0.2</v>
      </c>
      <c r="I21" s="460">
        <v>7.86</v>
      </c>
      <c r="J21" s="535">
        <f t="shared" si="1"/>
        <v>10.16</v>
      </c>
    </row>
    <row r="22" spans="1:10" ht="15">
      <c r="A22" s="458">
        <v>19</v>
      </c>
      <c r="B22" s="459" t="s">
        <v>69</v>
      </c>
      <c r="C22" s="460">
        <v>0</v>
      </c>
      <c r="D22" s="460">
        <v>0</v>
      </c>
      <c r="E22" s="460">
        <v>0</v>
      </c>
      <c r="F22" s="477">
        <f t="shared" si="0"/>
        <v>0</v>
      </c>
      <c r="G22" s="460">
        <v>0</v>
      </c>
      <c r="H22" s="460">
        <v>0</v>
      </c>
      <c r="I22" s="460">
        <v>0</v>
      </c>
      <c r="J22" s="535">
        <f t="shared" si="1"/>
        <v>0</v>
      </c>
    </row>
    <row r="23" spans="1:10" ht="15">
      <c r="A23" s="458">
        <v>20</v>
      </c>
      <c r="B23" s="459" t="s">
        <v>52</v>
      </c>
      <c r="C23" s="460">
        <v>0</v>
      </c>
      <c r="D23" s="460">
        <v>0</v>
      </c>
      <c r="E23" s="460">
        <v>1</v>
      </c>
      <c r="F23" s="477">
        <f t="shared" si="0"/>
        <v>1</v>
      </c>
      <c r="G23" s="460">
        <v>0</v>
      </c>
      <c r="H23" s="460">
        <v>0</v>
      </c>
      <c r="I23" s="460">
        <v>0</v>
      </c>
      <c r="J23" s="535">
        <f t="shared" si="1"/>
        <v>0</v>
      </c>
    </row>
    <row r="24" spans="1:10" ht="15">
      <c r="A24" s="458">
        <v>21</v>
      </c>
      <c r="B24" s="459" t="s">
        <v>71</v>
      </c>
      <c r="C24" s="460">
        <v>0</v>
      </c>
      <c r="D24" s="460">
        <v>0</v>
      </c>
      <c r="E24" s="460">
        <v>0</v>
      </c>
      <c r="F24" s="477">
        <f t="shared" si="0"/>
        <v>0</v>
      </c>
      <c r="G24" s="460">
        <v>0</v>
      </c>
      <c r="H24" s="460">
        <v>0</v>
      </c>
      <c r="I24" s="460">
        <v>0</v>
      </c>
      <c r="J24" s="535">
        <f t="shared" si="1"/>
        <v>0</v>
      </c>
    </row>
    <row r="25" spans="1:10" ht="15">
      <c r="A25" s="458">
        <v>22</v>
      </c>
      <c r="B25" s="459" t="s">
        <v>249</v>
      </c>
      <c r="C25" s="460">
        <v>0</v>
      </c>
      <c r="D25" s="460">
        <v>0</v>
      </c>
      <c r="E25" s="460">
        <v>0</v>
      </c>
      <c r="F25" s="477">
        <f t="shared" si="0"/>
        <v>0</v>
      </c>
      <c r="G25" s="460">
        <v>0</v>
      </c>
      <c r="H25" s="460">
        <v>0</v>
      </c>
      <c r="I25" s="460">
        <v>0</v>
      </c>
      <c r="J25" s="535">
        <f t="shared" si="1"/>
        <v>0</v>
      </c>
    </row>
    <row r="26" spans="1:10" ht="15">
      <c r="A26" s="458">
        <v>23</v>
      </c>
      <c r="B26" s="459" t="s">
        <v>250</v>
      </c>
      <c r="C26" s="460">
        <v>0</v>
      </c>
      <c r="D26" s="460">
        <v>0</v>
      </c>
      <c r="E26" s="460">
        <v>0</v>
      </c>
      <c r="F26" s="477">
        <f t="shared" si="0"/>
        <v>0</v>
      </c>
      <c r="G26" s="460">
        <v>0</v>
      </c>
      <c r="H26" s="460">
        <v>0</v>
      </c>
      <c r="I26" s="460">
        <v>0</v>
      </c>
      <c r="J26" s="535">
        <f t="shared" si="1"/>
        <v>0</v>
      </c>
    </row>
    <row r="27" spans="1:10" ht="15">
      <c r="A27" s="458">
        <v>24</v>
      </c>
      <c r="B27" s="459" t="s">
        <v>251</v>
      </c>
      <c r="C27" s="460">
        <v>0</v>
      </c>
      <c r="D27" s="460">
        <v>0</v>
      </c>
      <c r="E27" s="460">
        <v>0</v>
      </c>
      <c r="F27" s="477">
        <f t="shared" si="0"/>
        <v>0</v>
      </c>
      <c r="G27" s="460">
        <v>0</v>
      </c>
      <c r="H27" s="460">
        <v>0</v>
      </c>
      <c r="I27" s="460">
        <v>0</v>
      </c>
      <c r="J27" s="535">
        <f t="shared" si="1"/>
        <v>0</v>
      </c>
    </row>
    <row r="28" spans="1:10" ht="15">
      <c r="A28" s="458">
        <v>25</v>
      </c>
      <c r="B28" s="459" t="s">
        <v>252</v>
      </c>
      <c r="C28" s="460">
        <v>0</v>
      </c>
      <c r="D28" s="460">
        <v>0</v>
      </c>
      <c r="E28" s="460">
        <v>0</v>
      </c>
      <c r="F28" s="477">
        <f t="shared" si="0"/>
        <v>0</v>
      </c>
      <c r="G28" s="460">
        <v>0</v>
      </c>
      <c r="H28" s="460">
        <v>0</v>
      </c>
      <c r="I28" s="460">
        <v>0</v>
      </c>
      <c r="J28" s="535">
        <f t="shared" si="1"/>
        <v>0</v>
      </c>
    </row>
    <row r="29" spans="1:10" ht="15">
      <c r="A29" s="458">
        <v>26</v>
      </c>
      <c r="B29" s="459" t="s">
        <v>72</v>
      </c>
      <c r="C29" s="480">
        <v>9</v>
      </c>
      <c r="D29" s="480">
        <v>3</v>
      </c>
      <c r="E29" s="480">
        <v>17</v>
      </c>
      <c r="F29" s="477">
        <f t="shared" si="0"/>
        <v>29</v>
      </c>
      <c r="G29" s="480">
        <v>1.09</v>
      </c>
      <c r="H29" s="480">
        <v>0.2</v>
      </c>
      <c r="I29" s="480">
        <v>2.73</v>
      </c>
      <c r="J29" s="535">
        <f t="shared" si="1"/>
        <v>4.0200000000000005</v>
      </c>
    </row>
    <row r="30" spans="1:10" ht="15">
      <c r="A30" s="458"/>
      <c r="B30" s="481" t="s">
        <v>570</v>
      </c>
      <c r="C30" s="492">
        <f aca="true" t="shared" si="2" ref="C30:J30">SUM(C4:C29)</f>
        <v>111</v>
      </c>
      <c r="D30" s="492">
        <f t="shared" si="2"/>
        <v>44</v>
      </c>
      <c r="E30" s="492">
        <f t="shared" si="2"/>
        <v>438</v>
      </c>
      <c r="F30" s="461">
        <f t="shared" si="2"/>
        <v>593</v>
      </c>
      <c r="G30" s="492">
        <f t="shared" si="2"/>
        <v>15.47</v>
      </c>
      <c r="H30" s="492">
        <f t="shared" si="2"/>
        <v>5.71</v>
      </c>
      <c r="I30" s="492">
        <f t="shared" si="2"/>
        <v>50.995999999999995</v>
      </c>
      <c r="J30" s="535">
        <f t="shared" si="2"/>
        <v>72.176</v>
      </c>
    </row>
    <row r="31" spans="1:10" ht="15">
      <c r="A31" s="458">
        <v>27</v>
      </c>
      <c r="B31" s="459" t="s">
        <v>73</v>
      </c>
      <c r="C31" s="460">
        <v>0</v>
      </c>
      <c r="D31" s="460">
        <v>0</v>
      </c>
      <c r="E31" s="460">
        <v>0</v>
      </c>
      <c r="F31" s="461">
        <f aca="true" t="shared" si="3" ref="F31:F45">C31+D31+E31</f>
        <v>0</v>
      </c>
      <c r="G31" s="460">
        <v>0</v>
      </c>
      <c r="H31" s="460">
        <v>0</v>
      </c>
      <c r="I31" s="460">
        <v>0</v>
      </c>
      <c r="J31" s="535">
        <f t="shared" si="1"/>
        <v>0</v>
      </c>
    </row>
    <row r="32" spans="1:10" ht="15">
      <c r="A32" s="458">
        <v>28</v>
      </c>
      <c r="B32" s="459" t="s">
        <v>74</v>
      </c>
      <c r="C32" s="460">
        <v>0</v>
      </c>
      <c r="D32" s="460">
        <v>0</v>
      </c>
      <c r="E32" s="460">
        <v>0</v>
      </c>
      <c r="F32" s="461">
        <f t="shared" si="3"/>
        <v>0</v>
      </c>
      <c r="G32" s="460">
        <v>0</v>
      </c>
      <c r="H32" s="460">
        <v>0</v>
      </c>
      <c r="I32" s="460">
        <v>0</v>
      </c>
      <c r="J32" s="535">
        <f t="shared" si="1"/>
        <v>0</v>
      </c>
    </row>
    <row r="33" spans="1:10" ht="15">
      <c r="A33" s="458">
        <v>29</v>
      </c>
      <c r="B33" s="459" t="s">
        <v>571</v>
      </c>
      <c r="C33" s="460">
        <v>0</v>
      </c>
      <c r="D33" s="460">
        <v>0</v>
      </c>
      <c r="E33" s="460">
        <v>0</v>
      </c>
      <c r="F33" s="461">
        <f t="shared" si="3"/>
        <v>0</v>
      </c>
      <c r="G33" s="460">
        <v>0</v>
      </c>
      <c r="H33" s="460">
        <v>0</v>
      </c>
      <c r="I33" s="460">
        <v>0</v>
      </c>
      <c r="J33" s="535">
        <f t="shared" si="1"/>
        <v>0</v>
      </c>
    </row>
    <row r="34" spans="1:10" ht="15">
      <c r="A34" s="458">
        <v>30</v>
      </c>
      <c r="B34" s="459" t="s">
        <v>572</v>
      </c>
      <c r="C34" s="460">
        <v>0</v>
      </c>
      <c r="D34" s="460">
        <v>0</v>
      </c>
      <c r="E34" s="460">
        <v>0</v>
      </c>
      <c r="F34" s="461">
        <f t="shared" si="3"/>
        <v>0</v>
      </c>
      <c r="G34" s="460">
        <v>0</v>
      </c>
      <c r="H34" s="460">
        <v>0</v>
      </c>
      <c r="I34" s="460">
        <v>0</v>
      </c>
      <c r="J34" s="535">
        <f t="shared" si="1"/>
        <v>0</v>
      </c>
    </row>
    <row r="35" spans="1:10" ht="15">
      <c r="A35" s="458">
        <v>31</v>
      </c>
      <c r="B35" s="459" t="s">
        <v>573</v>
      </c>
      <c r="C35" s="460">
        <v>0</v>
      </c>
      <c r="D35" s="460">
        <v>0</v>
      </c>
      <c r="E35" s="460">
        <v>0</v>
      </c>
      <c r="F35" s="461">
        <v>0</v>
      </c>
      <c r="G35" s="460">
        <v>0</v>
      </c>
      <c r="H35" s="460">
        <v>0</v>
      </c>
      <c r="I35" s="460">
        <v>0</v>
      </c>
      <c r="J35" s="535">
        <f t="shared" si="1"/>
        <v>0</v>
      </c>
    </row>
    <row r="36" spans="1:10" ht="15">
      <c r="A36" s="458">
        <v>32</v>
      </c>
      <c r="B36" s="459" t="s">
        <v>574</v>
      </c>
      <c r="C36" s="460">
        <v>0</v>
      </c>
      <c r="D36" s="460">
        <v>0</v>
      </c>
      <c r="E36" s="460">
        <v>0</v>
      </c>
      <c r="F36" s="461">
        <f t="shared" si="3"/>
        <v>0</v>
      </c>
      <c r="G36" s="460">
        <v>0</v>
      </c>
      <c r="H36" s="460">
        <v>0</v>
      </c>
      <c r="I36" s="460">
        <v>0</v>
      </c>
      <c r="J36" s="535">
        <f t="shared" si="1"/>
        <v>0</v>
      </c>
    </row>
    <row r="37" spans="1:10" ht="15">
      <c r="A37" s="458">
        <v>33</v>
      </c>
      <c r="B37" s="459" t="s">
        <v>575</v>
      </c>
      <c r="C37" s="460">
        <v>0</v>
      </c>
      <c r="D37" s="460">
        <v>0</v>
      </c>
      <c r="E37" s="460">
        <v>0</v>
      </c>
      <c r="F37" s="461">
        <f t="shared" si="3"/>
        <v>0</v>
      </c>
      <c r="G37" s="460">
        <v>0</v>
      </c>
      <c r="H37" s="460">
        <v>0</v>
      </c>
      <c r="I37" s="460">
        <v>0</v>
      </c>
      <c r="J37" s="535">
        <f t="shared" si="1"/>
        <v>0</v>
      </c>
    </row>
    <row r="38" spans="1:10" ht="15">
      <c r="A38" s="458">
        <v>34</v>
      </c>
      <c r="B38" s="459" t="s">
        <v>576</v>
      </c>
      <c r="C38" s="460">
        <v>0</v>
      </c>
      <c r="D38" s="460">
        <v>0</v>
      </c>
      <c r="E38" s="460">
        <v>0</v>
      </c>
      <c r="F38" s="461">
        <f t="shared" si="3"/>
        <v>0</v>
      </c>
      <c r="G38" s="460">
        <v>0</v>
      </c>
      <c r="H38" s="460">
        <v>0</v>
      </c>
      <c r="I38" s="460">
        <v>0</v>
      </c>
      <c r="J38" s="535">
        <f t="shared" si="1"/>
        <v>0</v>
      </c>
    </row>
    <row r="39" spans="1:10" ht="15">
      <c r="A39" s="458">
        <v>35</v>
      </c>
      <c r="B39" s="459" t="s">
        <v>577</v>
      </c>
      <c r="C39" s="460">
        <v>0</v>
      </c>
      <c r="D39" s="460">
        <v>0</v>
      </c>
      <c r="E39" s="460">
        <v>0</v>
      </c>
      <c r="F39" s="461">
        <f t="shared" si="3"/>
        <v>0</v>
      </c>
      <c r="G39" s="460">
        <v>0</v>
      </c>
      <c r="H39" s="460">
        <v>0</v>
      </c>
      <c r="I39" s="460">
        <v>0</v>
      </c>
      <c r="J39" s="535">
        <f t="shared" si="1"/>
        <v>0</v>
      </c>
    </row>
    <row r="40" spans="1:10" ht="15">
      <c r="A40" s="458"/>
      <c r="B40" s="481" t="s">
        <v>578</v>
      </c>
      <c r="C40" s="492">
        <f>SUM(C31:C39)</f>
        <v>0</v>
      </c>
      <c r="D40" s="492">
        <f aca="true" t="shared" si="4" ref="D40:I40">SUM(D31:D39)</f>
        <v>0</v>
      </c>
      <c r="E40" s="492">
        <f t="shared" si="4"/>
        <v>0</v>
      </c>
      <c r="F40" s="461">
        <f t="shared" si="3"/>
        <v>0</v>
      </c>
      <c r="G40" s="492">
        <f t="shared" si="4"/>
        <v>0</v>
      </c>
      <c r="H40" s="492">
        <f t="shared" si="4"/>
        <v>0</v>
      </c>
      <c r="I40" s="492">
        <f t="shared" si="4"/>
        <v>0</v>
      </c>
      <c r="J40" s="535">
        <f t="shared" si="1"/>
        <v>0</v>
      </c>
    </row>
    <row r="41" spans="1:10" ht="15">
      <c r="A41" s="458">
        <v>36</v>
      </c>
      <c r="B41" s="459" t="s">
        <v>269</v>
      </c>
      <c r="C41" s="460">
        <v>0</v>
      </c>
      <c r="D41" s="460">
        <v>0</v>
      </c>
      <c r="E41" s="460">
        <v>0</v>
      </c>
      <c r="F41" s="461">
        <f t="shared" si="3"/>
        <v>0</v>
      </c>
      <c r="G41" s="460">
        <v>0</v>
      </c>
      <c r="H41" s="460">
        <v>0</v>
      </c>
      <c r="I41" s="460">
        <v>0</v>
      </c>
      <c r="J41" s="535">
        <f t="shared" si="1"/>
        <v>0</v>
      </c>
    </row>
    <row r="42" spans="1:10" ht="15">
      <c r="A42" s="458">
        <v>37</v>
      </c>
      <c r="B42" s="459" t="s">
        <v>48</v>
      </c>
      <c r="C42" s="460">
        <v>0</v>
      </c>
      <c r="D42" s="460">
        <v>0</v>
      </c>
      <c r="E42" s="460">
        <v>2</v>
      </c>
      <c r="F42" s="461">
        <f>E42+D42+C42</f>
        <v>2</v>
      </c>
      <c r="G42" s="460">
        <v>0</v>
      </c>
      <c r="H42" s="460">
        <v>0</v>
      </c>
      <c r="I42" s="460">
        <v>1.16</v>
      </c>
      <c r="J42" s="535">
        <f t="shared" si="1"/>
        <v>1.16</v>
      </c>
    </row>
    <row r="43" spans="1:10" ht="15.75">
      <c r="A43" s="458">
        <v>38</v>
      </c>
      <c r="B43" s="459" t="s">
        <v>54</v>
      </c>
      <c r="C43" s="468">
        <v>3</v>
      </c>
      <c r="D43" s="468">
        <v>5</v>
      </c>
      <c r="E43" s="468">
        <v>16</v>
      </c>
      <c r="F43" s="461">
        <f>E43+D43+C43</f>
        <v>24</v>
      </c>
      <c r="G43" s="542">
        <v>0.57</v>
      </c>
      <c r="H43" s="542">
        <v>0.8</v>
      </c>
      <c r="I43" s="542">
        <v>1.3</v>
      </c>
      <c r="J43" s="535">
        <f t="shared" si="1"/>
        <v>2.67</v>
      </c>
    </row>
    <row r="44" spans="1:10" ht="15">
      <c r="A44" s="458"/>
      <c r="B44" s="481" t="s">
        <v>579</v>
      </c>
      <c r="C44" s="492">
        <f aca="true" t="shared" si="5" ref="C44:J44">SUM(C41:C43)</f>
        <v>3</v>
      </c>
      <c r="D44" s="492">
        <f t="shared" si="5"/>
        <v>5</v>
      </c>
      <c r="E44" s="492">
        <f t="shared" si="5"/>
        <v>18</v>
      </c>
      <c r="F44" s="461">
        <f>E44+D44+C44</f>
        <v>26</v>
      </c>
      <c r="G44" s="492">
        <f t="shared" si="5"/>
        <v>0.57</v>
      </c>
      <c r="H44" s="492">
        <f t="shared" si="5"/>
        <v>0.8</v>
      </c>
      <c r="I44" s="492">
        <f t="shared" si="5"/>
        <v>2.46</v>
      </c>
      <c r="J44" s="535">
        <f t="shared" si="5"/>
        <v>3.83</v>
      </c>
    </row>
    <row r="45" spans="1:10" ht="15">
      <c r="A45" s="458">
        <v>39</v>
      </c>
      <c r="B45" s="481" t="s">
        <v>580</v>
      </c>
      <c r="C45" s="492">
        <v>0</v>
      </c>
      <c r="D45" s="492">
        <v>0</v>
      </c>
      <c r="E45" s="492">
        <v>0</v>
      </c>
      <c r="F45" s="461">
        <f t="shared" si="3"/>
        <v>0</v>
      </c>
      <c r="G45" s="492">
        <v>0</v>
      </c>
      <c r="H45" s="492">
        <v>0</v>
      </c>
      <c r="I45" s="492">
        <v>0</v>
      </c>
      <c r="J45" s="535">
        <f t="shared" si="1"/>
        <v>0</v>
      </c>
    </row>
    <row r="46" spans="1:10" ht="15">
      <c r="A46" s="458"/>
      <c r="B46" s="481" t="s">
        <v>276</v>
      </c>
      <c r="C46" s="492">
        <f>C30+C40+C44+C45</f>
        <v>114</v>
      </c>
      <c r="D46" s="492">
        <f aca="true" t="shared" si="6" ref="D46:J46">D30+D40+D44+D45</f>
        <v>49</v>
      </c>
      <c r="E46" s="492">
        <f t="shared" si="6"/>
        <v>456</v>
      </c>
      <c r="F46" s="492">
        <f t="shared" si="6"/>
        <v>619</v>
      </c>
      <c r="G46" s="492">
        <f t="shared" si="6"/>
        <v>16.04</v>
      </c>
      <c r="H46" s="492">
        <f t="shared" si="6"/>
        <v>6.51</v>
      </c>
      <c r="I46" s="492">
        <f t="shared" si="6"/>
        <v>53.455999999999996</v>
      </c>
      <c r="J46" s="492">
        <f t="shared" si="6"/>
        <v>76.006</v>
      </c>
    </row>
  </sheetData>
  <sheetProtection/>
  <mergeCells count="4">
    <mergeCell ref="A1:F1"/>
    <mergeCell ref="K2:K3"/>
    <mergeCell ref="C3:F3"/>
    <mergeCell ref="G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G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140625" defaultRowHeight="12.75"/>
  <cols>
    <col min="1" max="1" width="8.8515625" style="9" customWidth="1"/>
    <col min="2" max="2" width="28.28125" style="8" customWidth="1"/>
    <col min="3" max="3" width="15.57421875" style="26" customWidth="1"/>
    <col min="4" max="4" width="17.421875" style="26" customWidth="1"/>
    <col min="5" max="5" width="11.57421875" style="26" hidden="1" customWidth="1"/>
    <col min="6" max="6" width="10.421875" style="8" bestFit="1" customWidth="1"/>
    <col min="7" max="7" width="14.57421875" style="8" customWidth="1"/>
    <col min="8" max="16384" width="9.140625" style="8" customWidth="1"/>
  </cols>
  <sheetData>
    <row r="1" spans="1:7" ht="12.75" customHeight="1">
      <c r="A1" s="561" t="s">
        <v>208</v>
      </c>
      <c r="B1" s="561"/>
      <c r="C1" s="561"/>
      <c r="D1" s="561"/>
      <c r="E1" s="561"/>
      <c r="F1" s="561"/>
      <c r="G1" s="561"/>
    </row>
    <row r="2" spans="1:7" ht="14.25">
      <c r="A2" s="545" t="s">
        <v>206</v>
      </c>
      <c r="B2" s="545"/>
      <c r="C2" s="545"/>
      <c r="D2" s="545"/>
      <c r="E2" s="545"/>
      <c r="F2" s="545"/>
      <c r="G2" s="545"/>
    </row>
    <row r="3" spans="1:7" ht="14.25" customHeight="1">
      <c r="A3" s="36"/>
      <c r="B3" s="33" t="s">
        <v>12</v>
      </c>
      <c r="C3" s="7"/>
      <c r="D3" s="7"/>
      <c r="E3" s="7"/>
      <c r="F3" s="50" t="s">
        <v>205</v>
      </c>
      <c r="G3" s="32"/>
    </row>
    <row r="4" spans="1:7" s="3" customFormat="1" ht="15" customHeight="1">
      <c r="A4" s="51" t="s">
        <v>2</v>
      </c>
      <c r="B4" s="51" t="s">
        <v>207</v>
      </c>
      <c r="C4" s="52" t="s">
        <v>14</v>
      </c>
      <c r="D4" s="53" t="s">
        <v>9</v>
      </c>
      <c r="E4" s="54"/>
      <c r="F4" s="562" t="s">
        <v>10</v>
      </c>
      <c r="G4" s="563"/>
    </row>
    <row r="5" spans="1:7" s="3" customFormat="1" ht="15" customHeight="1">
      <c r="A5" s="31"/>
      <c r="B5" s="35"/>
      <c r="C5" s="55"/>
      <c r="D5" s="55"/>
      <c r="E5" s="55"/>
      <c r="F5" s="56"/>
      <c r="G5" s="57"/>
    </row>
  </sheetData>
  <sheetProtection/>
  <mergeCells count="3">
    <mergeCell ref="A1:G1"/>
    <mergeCell ref="A2:G2"/>
    <mergeCell ref="F4:G4"/>
  </mergeCells>
  <conditionalFormatting sqref="G1:G65536">
    <cfRule type="cellIs" priority="1" dxfId="198" operator="greaterThan" stopIfTrue="1">
      <formula>900000</formula>
    </cfRule>
    <cfRule type="cellIs" priority="2" dxfId="198" operator="lessThan" stopIfTrue="1">
      <formula>20000</formula>
    </cfRule>
    <cfRule type="cellIs" priority="3" dxfId="198" operator="greaterThan" stopIfTrue="1">
      <formula>100000</formula>
    </cfRule>
    <cfRule type="cellIs" priority="4" dxfId="198" operator="lessThan" stopIfTrue="1">
      <formula>40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64"/>
  <sheetViews>
    <sheetView view="pageBreakPreview" zoomScale="60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64" sqref="F64"/>
    </sheetView>
  </sheetViews>
  <sheetFormatPr defaultColWidth="4.421875" defaultRowHeight="12.75"/>
  <cols>
    <col min="1" max="1" width="4.421875" style="85" customWidth="1"/>
    <col min="2" max="2" width="24.7109375" style="85" customWidth="1"/>
    <col min="3" max="3" width="8.00390625" style="85" bestFit="1" customWidth="1"/>
    <col min="4" max="4" width="8.421875" style="141" customWidth="1"/>
    <col min="5" max="5" width="9.421875" style="141" customWidth="1"/>
    <col min="6" max="6" width="10.00390625" style="141" customWidth="1"/>
    <col min="7" max="7" width="7.00390625" style="85" customWidth="1"/>
    <col min="8" max="8" width="9.57421875" style="85" customWidth="1"/>
    <col min="9" max="9" width="7.8515625" style="85" customWidth="1"/>
    <col min="10" max="10" width="8.28125" style="85" customWidth="1"/>
    <col min="11" max="12" width="9.00390625" style="85" bestFit="1" customWidth="1"/>
    <col min="13" max="13" width="11.140625" style="141" customWidth="1"/>
    <col min="14" max="15" width="8.00390625" style="85" bestFit="1" customWidth="1"/>
    <col min="16" max="16384" width="4.421875" style="85" customWidth="1"/>
  </cols>
  <sheetData>
    <row r="1" spans="1:12" ht="15" customHeight="1">
      <c r="A1" s="564" t="s">
        <v>130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2:10" ht="15" customHeight="1">
      <c r="B2" s="140" t="s">
        <v>141</v>
      </c>
      <c r="H2" s="85" t="s">
        <v>161</v>
      </c>
      <c r="J2" s="140" t="s">
        <v>129</v>
      </c>
    </row>
    <row r="3" spans="1:13" ht="15" customHeight="1">
      <c r="A3" s="565" t="s">
        <v>124</v>
      </c>
      <c r="B3" s="565" t="s">
        <v>102</v>
      </c>
      <c r="C3" s="566" t="s">
        <v>131</v>
      </c>
      <c r="D3" s="566"/>
      <c r="E3" s="566"/>
      <c r="F3" s="566"/>
      <c r="G3" s="566"/>
      <c r="H3" s="566"/>
      <c r="I3" s="566"/>
      <c r="J3" s="566"/>
      <c r="K3" s="566"/>
      <c r="L3" s="566"/>
      <c r="M3" s="567" t="s">
        <v>323</v>
      </c>
    </row>
    <row r="4" spans="1:14" ht="24.75" customHeight="1">
      <c r="A4" s="565"/>
      <c r="B4" s="565"/>
      <c r="C4" s="566" t="s">
        <v>33</v>
      </c>
      <c r="D4" s="566"/>
      <c r="E4" s="566" t="s">
        <v>132</v>
      </c>
      <c r="F4" s="566"/>
      <c r="G4" s="566" t="s">
        <v>126</v>
      </c>
      <c r="H4" s="566"/>
      <c r="I4" s="566" t="s">
        <v>127</v>
      </c>
      <c r="J4" s="566"/>
      <c r="K4" s="566" t="s">
        <v>34</v>
      </c>
      <c r="L4" s="566"/>
      <c r="M4" s="567"/>
      <c r="N4" s="167">
        <v>0.18</v>
      </c>
    </row>
    <row r="5" spans="1:13" ht="15" customHeight="1">
      <c r="A5" s="565"/>
      <c r="B5" s="565"/>
      <c r="C5" s="143" t="s">
        <v>30</v>
      </c>
      <c r="D5" s="143" t="s">
        <v>17</v>
      </c>
      <c r="E5" s="143" t="s">
        <v>30</v>
      </c>
      <c r="F5" s="143" t="s">
        <v>17</v>
      </c>
      <c r="G5" s="143" t="s">
        <v>30</v>
      </c>
      <c r="H5" s="143" t="s">
        <v>17</v>
      </c>
      <c r="I5" s="143" t="s">
        <v>30</v>
      </c>
      <c r="J5" s="143" t="s">
        <v>17</v>
      </c>
      <c r="K5" s="143" t="s">
        <v>30</v>
      </c>
      <c r="L5" s="143" t="s">
        <v>17</v>
      </c>
      <c r="M5" s="567"/>
    </row>
    <row r="6" spans="1:13" ht="13.5">
      <c r="A6" s="79">
        <v>1</v>
      </c>
      <c r="B6" s="130" t="s">
        <v>57</v>
      </c>
      <c r="C6" s="131">
        <v>98785</v>
      </c>
      <c r="D6" s="131">
        <v>182689.7</v>
      </c>
      <c r="E6" s="131">
        <v>60428</v>
      </c>
      <c r="F6" s="131">
        <v>97837.11</v>
      </c>
      <c r="G6" s="131">
        <v>245</v>
      </c>
      <c r="H6" s="131">
        <v>125.13</v>
      </c>
      <c r="I6" s="131">
        <v>3861</v>
      </c>
      <c r="J6" s="131">
        <v>22021.9</v>
      </c>
      <c r="K6" s="131">
        <f>C6+G6+I6</f>
        <v>102891</v>
      </c>
      <c r="L6" s="131">
        <f>D6+H6+J6</f>
        <v>204836.73</v>
      </c>
      <c r="M6" s="132">
        <f>L6*100/'Pri Sec_outstanding_6'!R6</f>
        <v>32.024653623546406</v>
      </c>
    </row>
    <row r="7" spans="1:13" ht="13.5">
      <c r="A7" s="79">
        <v>2</v>
      </c>
      <c r="B7" s="130" t="s">
        <v>58</v>
      </c>
      <c r="C7" s="131">
        <v>1132</v>
      </c>
      <c r="D7" s="131">
        <v>2181</v>
      </c>
      <c r="E7" s="131">
        <v>1149</v>
      </c>
      <c r="F7" s="131">
        <v>2096</v>
      </c>
      <c r="G7" s="131">
        <v>0</v>
      </c>
      <c r="H7" s="131">
        <v>0</v>
      </c>
      <c r="I7" s="131">
        <v>9</v>
      </c>
      <c r="J7" s="131">
        <v>5496</v>
      </c>
      <c r="K7" s="131">
        <f aca="true" t="shared" si="0" ref="K7:K57">C7+G7+I7</f>
        <v>1141</v>
      </c>
      <c r="L7" s="131">
        <f aca="true" t="shared" si="1" ref="L7:L57">D7+H7+J7</f>
        <v>7677</v>
      </c>
      <c r="M7" s="132">
        <f>L7*100/'Pri Sec_outstanding_6'!R7</f>
        <v>16.207486224586738</v>
      </c>
    </row>
    <row r="8" spans="1:13" ht="13.5">
      <c r="A8" s="79">
        <v>3</v>
      </c>
      <c r="B8" s="130" t="s">
        <v>59</v>
      </c>
      <c r="C8" s="131">
        <v>36848</v>
      </c>
      <c r="D8" s="131">
        <v>70611</v>
      </c>
      <c r="E8" s="131">
        <v>32574</v>
      </c>
      <c r="F8" s="131">
        <v>54594</v>
      </c>
      <c r="G8" s="131">
        <v>2102</v>
      </c>
      <c r="H8" s="131">
        <v>22992</v>
      </c>
      <c r="I8" s="131">
        <v>1574</v>
      </c>
      <c r="J8" s="131">
        <v>26485</v>
      </c>
      <c r="K8" s="131">
        <f t="shared" si="0"/>
        <v>40524</v>
      </c>
      <c r="L8" s="131">
        <f t="shared" si="1"/>
        <v>120088</v>
      </c>
      <c r="M8" s="132">
        <f>L8*100/'Pri Sec_outstanding_6'!R8</f>
        <v>13.45825395046509</v>
      </c>
    </row>
    <row r="9" spans="1:13" ht="13.5">
      <c r="A9" s="79">
        <v>4</v>
      </c>
      <c r="B9" s="130" t="s">
        <v>60</v>
      </c>
      <c r="C9" s="131">
        <v>362790</v>
      </c>
      <c r="D9" s="131">
        <v>735271.7657623</v>
      </c>
      <c r="E9" s="131">
        <v>346605</v>
      </c>
      <c r="F9" s="131">
        <v>642196.0970286</v>
      </c>
      <c r="G9" s="131">
        <v>16822</v>
      </c>
      <c r="H9" s="131">
        <v>28389.466019700005</v>
      </c>
      <c r="I9" s="131">
        <v>36595</v>
      </c>
      <c r="J9" s="131">
        <v>83736.65485009999</v>
      </c>
      <c r="K9" s="131">
        <f t="shared" si="0"/>
        <v>416207</v>
      </c>
      <c r="L9" s="131">
        <f t="shared" si="1"/>
        <v>847397.8866321</v>
      </c>
      <c r="M9" s="132">
        <f>L9*100/'Pri Sec_outstanding_6'!R9</f>
        <v>51.64361590510934</v>
      </c>
    </row>
    <row r="10" spans="1:13" ht="13.5">
      <c r="A10" s="79">
        <v>5</v>
      </c>
      <c r="B10" s="130" t="s">
        <v>61</v>
      </c>
      <c r="C10" s="131">
        <v>50169</v>
      </c>
      <c r="D10" s="131">
        <v>85909</v>
      </c>
      <c r="E10" s="131">
        <v>46270</v>
      </c>
      <c r="F10" s="131">
        <v>65359</v>
      </c>
      <c r="G10" s="131">
        <v>1123</v>
      </c>
      <c r="H10" s="131">
        <v>29054.69</v>
      </c>
      <c r="I10" s="131">
        <v>0</v>
      </c>
      <c r="J10" s="131">
        <v>0</v>
      </c>
      <c r="K10" s="131">
        <f t="shared" si="0"/>
        <v>51292</v>
      </c>
      <c r="L10" s="131">
        <f t="shared" si="1"/>
        <v>114963.69</v>
      </c>
      <c r="M10" s="132">
        <f>L10*100/'Pri Sec_outstanding_6'!R10</f>
        <v>31.27446707798779</v>
      </c>
    </row>
    <row r="11" spans="1:13" ht="13.5">
      <c r="A11" s="79">
        <v>6</v>
      </c>
      <c r="B11" s="133" t="s">
        <v>289</v>
      </c>
      <c r="C11" s="131">
        <v>1</v>
      </c>
      <c r="D11" s="131">
        <v>0.73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f t="shared" si="0"/>
        <v>1</v>
      </c>
      <c r="L11" s="131">
        <f t="shared" si="1"/>
        <v>0.73</v>
      </c>
      <c r="M11" s="132">
        <f>L11*100/'Pri Sec_outstanding_6'!R11</f>
        <v>0.09567496723460026</v>
      </c>
    </row>
    <row r="12" spans="1:13" ht="13.5">
      <c r="A12" s="79">
        <v>7</v>
      </c>
      <c r="B12" s="130" t="s">
        <v>62</v>
      </c>
      <c r="C12" s="131">
        <v>41924</v>
      </c>
      <c r="D12" s="131">
        <v>88485.34</v>
      </c>
      <c r="E12" s="131">
        <v>21066</v>
      </c>
      <c r="F12" s="131">
        <v>41359</v>
      </c>
      <c r="G12" s="131">
        <v>2132</v>
      </c>
      <c r="H12" s="131">
        <v>18870.7</v>
      </c>
      <c r="I12" s="131">
        <v>52</v>
      </c>
      <c r="J12" s="131">
        <v>3763</v>
      </c>
      <c r="K12" s="131">
        <f t="shared" si="0"/>
        <v>44108</v>
      </c>
      <c r="L12" s="131">
        <f t="shared" si="1"/>
        <v>111119.04</v>
      </c>
      <c r="M12" s="132">
        <f>L12*100/'Pri Sec_outstanding_6'!R12</f>
        <v>27.19080711782785</v>
      </c>
    </row>
    <row r="13" spans="1:13" ht="13.5">
      <c r="A13" s="79">
        <v>8</v>
      </c>
      <c r="B13" s="130" t="s">
        <v>63</v>
      </c>
      <c r="C13" s="131">
        <v>301362</v>
      </c>
      <c r="D13" s="131">
        <v>440908.71</v>
      </c>
      <c r="E13" s="131">
        <v>220886</v>
      </c>
      <c r="F13" s="131">
        <v>306592</v>
      </c>
      <c r="G13" s="131">
        <v>502</v>
      </c>
      <c r="H13" s="131">
        <v>22767.809999999998</v>
      </c>
      <c r="I13" s="131">
        <v>977</v>
      </c>
      <c r="J13" s="131">
        <v>35599.04</v>
      </c>
      <c r="K13" s="131">
        <f t="shared" si="0"/>
        <v>302841</v>
      </c>
      <c r="L13" s="131">
        <f t="shared" si="1"/>
        <v>499275.56</v>
      </c>
      <c r="M13" s="132">
        <f>L13*100/'Pri Sec_outstanding_6'!R13</f>
        <v>41.450167701657094</v>
      </c>
    </row>
    <row r="14" spans="1:13" ht="13.5">
      <c r="A14" s="79">
        <v>9</v>
      </c>
      <c r="B14" s="130" t="s">
        <v>50</v>
      </c>
      <c r="C14" s="131">
        <v>10980</v>
      </c>
      <c r="D14" s="131">
        <v>30732</v>
      </c>
      <c r="E14" s="131">
        <v>6755</v>
      </c>
      <c r="F14" s="131">
        <v>19109</v>
      </c>
      <c r="G14" s="131">
        <v>5</v>
      </c>
      <c r="H14" s="131">
        <v>547.79</v>
      </c>
      <c r="I14" s="131">
        <v>0</v>
      </c>
      <c r="J14" s="131">
        <v>0</v>
      </c>
      <c r="K14" s="131">
        <f t="shared" si="0"/>
        <v>10985</v>
      </c>
      <c r="L14" s="131">
        <f t="shared" si="1"/>
        <v>31279.79</v>
      </c>
      <c r="M14" s="132">
        <f>L14*100/'Pri Sec_outstanding_6'!R14</f>
        <v>11.225033284169655</v>
      </c>
    </row>
    <row r="15" spans="1:13" ht="13.5">
      <c r="A15" s="79">
        <v>10</v>
      </c>
      <c r="B15" s="130" t="s">
        <v>51</v>
      </c>
      <c r="C15" s="131">
        <v>10600</v>
      </c>
      <c r="D15" s="131">
        <v>20736</v>
      </c>
      <c r="E15" s="131">
        <v>7626</v>
      </c>
      <c r="F15" s="131">
        <v>15110</v>
      </c>
      <c r="G15" s="131">
        <v>194</v>
      </c>
      <c r="H15" s="131">
        <v>287</v>
      </c>
      <c r="I15" s="131">
        <v>33</v>
      </c>
      <c r="J15" s="131">
        <v>193</v>
      </c>
      <c r="K15" s="131">
        <f t="shared" si="0"/>
        <v>10827</v>
      </c>
      <c r="L15" s="131">
        <f t="shared" si="1"/>
        <v>21216</v>
      </c>
      <c r="M15" s="132">
        <f>L15*100/'Pri Sec_outstanding_6'!R15</f>
        <v>11.793152900762086</v>
      </c>
    </row>
    <row r="16" spans="1:13" ht="13.5">
      <c r="A16" s="79">
        <v>11</v>
      </c>
      <c r="B16" s="130" t="s">
        <v>290</v>
      </c>
      <c r="C16" s="131">
        <v>25602</v>
      </c>
      <c r="D16" s="131">
        <v>49026</v>
      </c>
      <c r="E16" s="131">
        <v>25114</v>
      </c>
      <c r="F16" s="131">
        <v>48218</v>
      </c>
      <c r="G16" s="131">
        <v>26</v>
      </c>
      <c r="H16" s="131">
        <v>722</v>
      </c>
      <c r="I16" s="131">
        <v>41</v>
      </c>
      <c r="J16" s="131">
        <v>22978</v>
      </c>
      <c r="K16" s="131">
        <f t="shared" si="0"/>
        <v>25669</v>
      </c>
      <c r="L16" s="131">
        <f t="shared" si="1"/>
        <v>72726</v>
      </c>
      <c r="M16" s="132">
        <f>L16*100/'Pri Sec_outstanding_6'!R16</f>
        <v>18.157577391786322</v>
      </c>
    </row>
    <row r="17" spans="1:13" ht="13.5">
      <c r="A17" s="79">
        <v>12</v>
      </c>
      <c r="B17" s="130" t="s">
        <v>64</v>
      </c>
      <c r="C17" s="131">
        <v>2468</v>
      </c>
      <c r="D17" s="131">
        <v>3844.19</v>
      </c>
      <c r="E17" s="131">
        <v>1758</v>
      </c>
      <c r="F17" s="131">
        <v>2786.26</v>
      </c>
      <c r="G17" s="131">
        <v>0</v>
      </c>
      <c r="H17" s="131">
        <v>0</v>
      </c>
      <c r="I17" s="131">
        <v>0</v>
      </c>
      <c r="J17" s="131">
        <v>0</v>
      </c>
      <c r="K17" s="131">
        <f t="shared" si="0"/>
        <v>2468</v>
      </c>
      <c r="L17" s="131">
        <f t="shared" si="1"/>
        <v>3844.19</v>
      </c>
      <c r="M17" s="132">
        <f>L17*100/'Pri Sec_outstanding_6'!R17</f>
        <v>5.51653148436297</v>
      </c>
    </row>
    <row r="18" spans="1:13" ht="13.5">
      <c r="A18" s="79">
        <v>13</v>
      </c>
      <c r="B18" s="130" t="s">
        <v>65</v>
      </c>
      <c r="C18" s="131">
        <v>2296</v>
      </c>
      <c r="D18" s="131">
        <v>4876</v>
      </c>
      <c r="E18" s="131">
        <v>1759</v>
      </c>
      <c r="F18" s="131">
        <v>3257</v>
      </c>
      <c r="G18" s="131">
        <v>13</v>
      </c>
      <c r="H18" s="131">
        <v>414</v>
      </c>
      <c r="I18" s="131">
        <v>344</v>
      </c>
      <c r="J18" s="131">
        <v>2404</v>
      </c>
      <c r="K18" s="131">
        <f t="shared" si="0"/>
        <v>2653</v>
      </c>
      <c r="L18" s="131">
        <f t="shared" si="1"/>
        <v>7694</v>
      </c>
      <c r="M18" s="132">
        <f>L18*100/'Pri Sec_outstanding_6'!R18</f>
        <v>8.10116452923958</v>
      </c>
    </row>
    <row r="19" spans="1:13" ht="13.5">
      <c r="A19" s="79">
        <v>14</v>
      </c>
      <c r="B19" s="134" t="s">
        <v>291</v>
      </c>
      <c r="C19" s="131">
        <v>10733</v>
      </c>
      <c r="D19" s="131">
        <v>29350.38</v>
      </c>
      <c r="E19" s="131">
        <v>8664</v>
      </c>
      <c r="F19" s="131">
        <v>22537.62</v>
      </c>
      <c r="G19" s="131">
        <v>110</v>
      </c>
      <c r="H19" s="131">
        <v>1419.48</v>
      </c>
      <c r="I19" s="131">
        <v>173</v>
      </c>
      <c r="J19" s="131">
        <v>21708.72</v>
      </c>
      <c r="K19" s="131">
        <f t="shared" si="0"/>
        <v>11016</v>
      </c>
      <c r="L19" s="131">
        <f t="shared" si="1"/>
        <v>52478.58</v>
      </c>
      <c r="M19" s="132">
        <f>L19*100/'Pri Sec_outstanding_6'!R19</f>
        <v>24.637946657026557</v>
      </c>
    </row>
    <row r="20" spans="1:13" ht="13.5">
      <c r="A20" s="79">
        <v>15</v>
      </c>
      <c r="B20" s="130" t="s">
        <v>292</v>
      </c>
      <c r="C20" s="131">
        <v>5114</v>
      </c>
      <c r="D20" s="131">
        <v>10317</v>
      </c>
      <c r="E20" s="131">
        <v>4184</v>
      </c>
      <c r="F20" s="131">
        <v>8230</v>
      </c>
      <c r="G20" s="131">
        <v>0</v>
      </c>
      <c r="H20" s="131">
        <v>0</v>
      </c>
      <c r="I20" s="131">
        <v>0</v>
      </c>
      <c r="J20" s="131">
        <v>0</v>
      </c>
      <c r="K20" s="131">
        <f t="shared" si="0"/>
        <v>5114</v>
      </c>
      <c r="L20" s="131">
        <f t="shared" si="1"/>
        <v>10317</v>
      </c>
      <c r="M20" s="132">
        <f>L20*100/'Pri Sec_outstanding_6'!R20</f>
        <v>16.23011940157629</v>
      </c>
    </row>
    <row r="21" spans="1:13" ht="13.5">
      <c r="A21" s="79">
        <v>16</v>
      </c>
      <c r="B21" s="130" t="s">
        <v>66</v>
      </c>
      <c r="C21" s="131">
        <v>175426</v>
      </c>
      <c r="D21" s="131">
        <v>267223</v>
      </c>
      <c r="E21" s="131">
        <v>162066</v>
      </c>
      <c r="F21" s="131">
        <v>215365</v>
      </c>
      <c r="G21" s="131">
        <v>3648</v>
      </c>
      <c r="H21" s="131">
        <v>10841</v>
      </c>
      <c r="I21" s="131">
        <v>17592</v>
      </c>
      <c r="J21" s="131">
        <v>38919</v>
      </c>
      <c r="K21" s="131">
        <f t="shared" si="0"/>
        <v>196666</v>
      </c>
      <c r="L21" s="131">
        <f t="shared" si="1"/>
        <v>316983</v>
      </c>
      <c r="M21" s="132">
        <f>L21*100/'Pri Sec_outstanding_6'!R21</f>
        <v>24.38424554790569</v>
      </c>
    </row>
    <row r="22" spans="1:13" ht="13.5">
      <c r="A22" s="79">
        <v>17</v>
      </c>
      <c r="B22" s="135" t="s">
        <v>67</v>
      </c>
      <c r="C22" s="131">
        <v>8123</v>
      </c>
      <c r="D22" s="131">
        <v>11524</v>
      </c>
      <c r="E22" s="131">
        <v>6448</v>
      </c>
      <c r="F22" s="131">
        <v>8685</v>
      </c>
      <c r="G22" s="131">
        <v>6</v>
      </c>
      <c r="H22" s="131">
        <v>168</v>
      </c>
      <c r="I22" s="131">
        <v>40</v>
      </c>
      <c r="J22" s="131">
        <v>353</v>
      </c>
      <c r="K22" s="131">
        <f t="shared" si="0"/>
        <v>8169</v>
      </c>
      <c r="L22" s="131">
        <f t="shared" si="1"/>
        <v>12045</v>
      </c>
      <c r="M22" s="132">
        <f>L22*100/'Pri Sec_outstanding_6'!R22</f>
        <v>8.628099883955818</v>
      </c>
    </row>
    <row r="23" spans="1:13" ht="13.5">
      <c r="A23" s="79">
        <v>18</v>
      </c>
      <c r="B23" s="130" t="s">
        <v>253</v>
      </c>
      <c r="C23" s="131">
        <v>95202</v>
      </c>
      <c r="D23" s="131">
        <v>113070</v>
      </c>
      <c r="E23" s="131">
        <v>94222</v>
      </c>
      <c r="F23" s="131">
        <v>103170</v>
      </c>
      <c r="G23" s="131">
        <v>4290</v>
      </c>
      <c r="H23" s="131">
        <v>8795</v>
      </c>
      <c r="I23" s="131">
        <v>2620</v>
      </c>
      <c r="J23" s="131">
        <v>4342</v>
      </c>
      <c r="K23" s="131">
        <f t="shared" si="0"/>
        <v>102112</v>
      </c>
      <c r="L23" s="131">
        <f t="shared" si="1"/>
        <v>126207</v>
      </c>
      <c r="M23" s="132">
        <f>L23*100/'Pri Sec_outstanding_6'!R23</f>
        <v>28.571266868450422</v>
      </c>
    </row>
    <row r="24" spans="1:13" ht="13.5">
      <c r="A24" s="79">
        <v>19</v>
      </c>
      <c r="B24" s="136" t="s">
        <v>68</v>
      </c>
      <c r="C24" s="131">
        <v>117593</v>
      </c>
      <c r="D24" s="131">
        <v>220317.06</v>
      </c>
      <c r="E24" s="131">
        <v>99461</v>
      </c>
      <c r="F24" s="131">
        <v>185606.82</v>
      </c>
      <c r="G24" s="131">
        <v>1122</v>
      </c>
      <c r="H24" s="131">
        <v>11643.61</v>
      </c>
      <c r="I24" s="131">
        <v>1629</v>
      </c>
      <c r="J24" s="131">
        <v>55021.66</v>
      </c>
      <c r="K24" s="131">
        <f t="shared" si="0"/>
        <v>120344</v>
      </c>
      <c r="L24" s="131">
        <f t="shared" si="1"/>
        <v>286982.32999999996</v>
      </c>
      <c r="M24" s="132">
        <f>L24*100/'Pri Sec_outstanding_6'!R24</f>
        <v>37.174871804211755</v>
      </c>
    </row>
    <row r="25" spans="1:13" ht="13.5">
      <c r="A25" s="79">
        <v>20</v>
      </c>
      <c r="B25" s="130" t="s">
        <v>69</v>
      </c>
      <c r="C25" s="131">
        <v>60</v>
      </c>
      <c r="D25" s="131">
        <v>53</v>
      </c>
      <c r="E25" s="131">
        <v>0</v>
      </c>
      <c r="F25" s="131">
        <v>0</v>
      </c>
      <c r="G25" s="131">
        <v>0</v>
      </c>
      <c r="H25" s="131">
        <v>0</v>
      </c>
      <c r="I25" s="131">
        <v>380</v>
      </c>
      <c r="J25" s="131">
        <v>1089</v>
      </c>
      <c r="K25" s="131">
        <f t="shared" si="0"/>
        <v>440</v>
      </c>
      <c r="L25" s="131">
        <f t="shared" si="1"/>
        <v>1142</v>
      </c>
      <c r="M25" s="132">
        <f>L25*100/'Pri Sec_outstanding_6'!R25</f>
        <v>3.475561507091119</v>
      </c>
    </row>
    <row r="26" spans="1:13" ht="13.5">
      <c r="A26" s="79">
        <v>21</v>
      </c>
      <c r="B26" s="130" t="s">
        <v>52</v>
      </c>
      <c r="C26" s="131">
        <v>6724</v>
      </c>
      <c r="D26" s="131">
        <v>13663</v>
      </c>
      <c r="E26" s="131">
        <v>5924</v>
      </c>
      <c r="F26" s="131">
        <v>12489</v>
      </c>
      <c r="G26" s="131">
        <v>326</v>
      </c>
      <c r="H26" s="131">
        <v>95.46</v>
      </c>
      <c r="I26" s="131">
        <v>426</v>
      </c>
      <c r="J26" s="131">
        <v>152.47</v>
      </c>
      <c r="K26" s="131">
        <f t="shared" si="0"/>
        <v>7476</v>
      </c>
      <c r="L26" s="131">
        <f t="shared" si="1"/>
        <v>13910.929999999998</v>
      </c>
      <c r="M26" s="132">
        <f>L26*100/'Pri Sec_outstanding_6'!R26</f>
        <v>19.316980031660506</v>
      </c>
    </row>
    <row r="27" spans="1:13" ht="13.5">
      <c r="A27" s="81"/>
      <c r="B27" s="137" t="s">
        <v>293</v>
      </c>
      <c r="C27" s="138">
        <f>SUM(C6:C26)</f>
        <v>1363932</v>
      </c>
      <c r="D27" s="138">
        <f aca="true" t="shared" si="2" ref="D27:J27">SUM(D6:D26)</f>
        <v>2380788.8757623</v>
      </c>
      <c r="E27" s="138">
        <f t="shared" si="2"/>
        <v>1152959</v>
      </c>
      <c r="F27" s="138">
        <f t="shared" si="2"/>
        <v>1854596.9070286</v>
      </c>
      <c r="G27" s="138">
        <f t="shared" si="2"/>
        <v>32666</v>
      </c>
      <c r="H27" s="138">
        <f t="shared" si="2"/>
        <v>157133.1360197</v>
      </c>
      <c r="I27" s="138">
        <f t="shared" si="2"/>
        <v>66346</v>
      </c>
      <c r="J27" s="138">
        <f t="shared" si="2"/>
        <v>324262.4448501</v>
      </c>
      <c r="K27" s="138">
        <f>SUM(K6:K26)</f>
        <v>1462944</v>
      </c>
      <c r="L27" s="138">
        <f>SUM(L6:L26)</f>
        <v>2862184.4566321005</v>
      </c>
      <c r="M27" s="129">
        <f>L27*100/'Pri Sec_outstanding_6'!R27</f>
        <v>30.908674630919595</v>
      </c>
    </row>
    <row r="28" spans="1:13" ht="13.5">
      <c r="A28" s="79">
        <v>22</v>
      </c>
      <c r="B28" s="130" t="s">
        <v>294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f t="shared" si="0"/>
        <v>0</v>
      </c>
      <c r="L28" s="131">
        <f t="shared" si="1"/>
        <v>0</v>
      </c>
      <c r="M28" s="132">
        <f>L28*100/'Pri Sec_outstanding_6'!R28</f>
        <v>0</v>
      </c>
    </row>
    <row r="29" spans="1:13" ht="13.5">
      <c r="A29" s="79">
        <v>23</v>
      </c>
      <c r="B29" s="130" t="s">
        <v>295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f t="shared" si="0"/>
        <v>0</v>
      </c>
      <c r="L29" s="131">
        <f t="shared" si="1"/>
        <v>0</v>
      </c>
      <c r="M29" s="132">
        <f>L29*100/'Pri Sec_outstanding_6'!R29</f>
        <v>0</v>
      </c>
    </row>
    <row r="30" spans="1:13" ht="13.5">
      <c r="A30" s="79">
        <v>24</v>
      </c>
      <c r="B30" s="130" t="s">
        <v>296</v>
      </c>
      <c r="C30" s="131">
        <v>0</v>
      </c>
      <c r="D30" s="131">
        <v>0</v>
      </c>
      <c r="E30" s="131">
        <v>0</v>
      </c>
      <c r="F30" s="131">
        <v>0</v>
      </c>
      <c r="G30" s="131">
        <v>1</v>
      </c>
      <c r="H30" s="131">
        <v>80.93</v>
      </c>
      <c r="I30" s="131">
        <v>1</v>
      </c>
      <c r="J30" s="131">
        <v>12.29</v>
      </c>
      <c r="K30" s="131">
        <f t="shared" si="0"/>
        <v>2</v>
      </c>
      <c r="L30" s="131">
        <f t="shared" si="1"/>
        <v>93.22</v>
      </c>
      <c r="M30" s="132">
        <f>L30*100/'Pri Sec_outstanding_6'!R30</f>
        <v>0.09607139912606151</v>
      </c>
    </row>
    <row r="31" spans="1:13" ht="13.5">
      <c r="A31" s="79">
        <v>25</v>
      </c>
      <c r="B31" s="133" t="s">
        <v>297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f t="shared" si="0"/>
        <v>0</v>
      </c>
      <c r="L31" s="131">
        <f t="shared" si="1"/>
        <v>0</v>
      </c>
      <c r="M31" s="132">
        <f>L31*100/'Pri Sec_outstanding_6'!R31</f>
        <v>0</v>
      </c>
    </row>
    <row r="32" spans="1:13" ht="13.5">
      <c r="A32" s="79">
        <v>26</v>
      </c>
      <c r="B32" s="130" t="s">
        <v>298</v>
      </c>
      <c r="C32" s="131">
        <v>293</v>
      </c>
      <c r="D32" s="131">
        <v>688</v>
      </c>
      <c r="E32" s="131">
        <v>253</v>
      </c>
      <c r="F32" s="131">
        <v>619</v>
      </c>
      <c r="G32" s="131">
        <v>0</v>
      </c>
      <c r="H32" s="131">
        <v>0</v>
      </c>
      <c r="I32" s="131">
        <v>60</v>
      </c>
      <c r="J32" s="131">
        <v>2029</v>
      </c>
      <c r="K32" s="131">
        <f t="shared" si="0"/>
        <v>353</v>
      </c>
      <c r="L32" s="131">
        <f t="shared" si="1"/>
        <v>2717</v>
      </c>
      <c r="M32" s="132">
        <f>L32*100/'Pri Sec_outstanding_6'!R32</f>
        <v>3.3229376872745062</v>
      </c>
    </row>
    <row r="33" spans="1:15" ht="13.5">
      <c r="A33" s="79">
        <v>27</v>
      </c>
      <c r="B33" s="130" t="s">
        <v>72</v>
      </c>
      <c r="C33" s="131">
        <v>550218</v>
      </c>
      <c r="D33" s="131">
        <v>976181</v>
      </c>
      <c r="E33" s="131">
        <v>550218</v>
      </c>
      <c r="F33" s="131">
        <v>976181</v>
      </c>
      <c r="G33" s="131">
        <v>75334</v>
      </c>
      <c r="H33" s="131">
        <v>84082</v>
      </c>
      <c r="I33" s="131">
        <v>75334</v>
      </c>
      <c r="J33" s="131">
        <v>132710</v>
      </c>
      <c r="K33" s="131">
        <f t="shared" si="0"/>
        <v>700886</v>
      </c>
      <c r="L33" s="131">
        <f t="shared" si="1"/>
        <v>1192973</v>
      </c>
      <c r="M33" s="132">
        <f>L33*100/'Pri Sec_outstanding_6'!R33</f>
        <v>21.150586006824366</v>
      </c>
      <c r="N33" s="145"/>
      <c r="O33" s="145"/>
    </row>
    <row r="34" spans="1:13" ht="13.5">
      <c r="A34" s="81"/>
      <c r="B34" s="137" t="s">
        <v>299</v>
      </c>
      <c r="C34" s="138">
        <f>SUM(C28:C33)</f>
        <v>550511</v>
      </c>
      <c r="D34" s="138">
        <f aca="true" t="shared" si="3" ref="D34:J34">SUM(D28:D33)</f>
        <v>976869</v>
      </c>
      <c r="E34" s="138">
        <f t="shared" si="3"/>
        <v>550471</v>
      </c>
      <c r="F34" s="138">
        <f t="shared" si="3"/>
        <v>976800</v>
      </c>
      <c r="G34" s="138">
        <f t="shared" si="3"/>
        <v>75335</v>
      </c>
      <c r="H34" s="138">
        <f t="shared" si="3"/>
        <v>84162.93</v>
      </c>
      <c r="I34" s="138">
        <f t="shared" si="3"/>
        <v>75395</v>
      </c>
      <c r="J34" s="138">
        <f t="shared" si="3"/>
        <v>134751.29</v>
      </c>
      <c r="K34" s="138">
        <f>SUM(K28:K33)</f>
        <v>701241</v>
      </c>
      <c r="L34" s="138">
        <f>SUM(L28:L33)</f>
        <v>1195783.22</v>
      </c>
      <c r="M34" s="129">
        <f>L34*100/'Pri Sec_outstanding_6'!R34</f>
        <v>20.18863622818713</v>
      </c>
    </row>
    <row r="35" spans="1:14" ht="13.5">
      <c r="A35" s="79">
        <v>28</v>
      </c>
      <c r="B35" s="80" t="s">
        <v>49</v>
      </c>
      <c r="C35" s="131">
        <v>92269</v>
      </c>
      <c r="D35" s="131">
        <v>57713</v>
      </c>
      <c r="E35" s="131">
        <v>2971</v>
      </c>
      <c r="F35" s="131">
        <v>14253.98</v>
      </c>
      <c r="G35" s="131">
        <v>32</v>
      </c>
      <c r="H35" s="131">
        <v>2320.66</v>
      </c>
      <c r="I35" s="131">
        <v>139</v>
      </c>
      <c r="J35" s="131">
        <v>13898.08</v>
      </c>
      <c r="K35" s="131">
        <f t="shared" si="0"/>
        <v>92440</v>
      </c>
      <c r="L35" s="131">
        <f t="shared" si="1"/>
        <v>73931.74</v>
      </c>
      <c r="M35" s="132">
        <f>L35*100/'Pri Sec_outstanding_6'!R35</f>
        <v>12.925762100242672</v>
      </c>
      <c r="N35" s="145"/>
    </row>
    <row r="36" spans="1:13" ht="13.5">
      <c r="A36" s="79">
        <v>29</v>
      </c>
      <c r="B36" s="80" t="s">
        <v>53</v>
      </c>
      <c r="C36" s="131">
        <v>1</v>
      </c>
      <c r="D36" s="131">
        <v>2.18351</v>
      </c>
      <c r="E36" s="131">
        <v>0</v>
      </c>
      <c r="F36" s="131">
        <v>0</v>
      </c>
      <c r="G36" s="131">
        <v>2</v>
      </c>
      <c r="H36" s="131">
        <v>84.3366808</v>
      </c>
      <c r="I36" s="131">
        <v>5</v>
      </c>
      <c r="J36" s="131">
        <v>161.3787993</v>
      </c>
      <c r="K36" s="131">
        <f t="shared" si="0"/>
        <v>8</v>
      </c>
      <c r="L36" s="131">
        <f t="shared" si="1"/>
        <v>247.8989901</v>
      </c>
      <c r="M36" s="132">
        <f>L36*100/'Pri Sec_outstanding_6'!R36</f>
        <v>2.85006886755576</v>
      </c>
    </row>
    <row r="37" spans="1:13" ht="13.5">
      <c r="A37" s="79">
        <v>30</v>
      </c>
      <c r="B37" s="80" t="s">
        <v>300</v>
      </c>
      <c r="C37" s="131"/>
      <c r="D37" s="131">
        <v>20779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f t="shared" si="0"/>
        <v>0</v>
      </c>
      <c r="L37" s="131">
        <f t="shared" si="1"/>
        <v>20779</v>
      </c>
      <c r="M37" s="132">
        <f>L37*100/'Pri Sec_outstanding_6'!R37</f>
        <v>53.465932482503085</v>
      </c>
    </row>
    <row r="38" spans="1:13" ht="13.5">
      <c r="A38" s="79">
        <v>31</v>
      </c>
      <c r="B38" s="80" t="s">
        <v>301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f t="shared" si="0"/>
        <v>0</v>
      </c>
      <c r="L38" s="131">
        <f t="shared" si="1"/>
        <v>0</v>
      </c>
      <c r="M38" s="132">
        <f>L38*100/'Pri Sec_outstanding_6'!R38</f>
        <v>0</v>
      </c>
    </row>
    <row r="39" spans="1:13" ht="13.5">
      <c r="A39" s="79">
        <v>32</v>
      </c>
      <c r="B39" s="130" t="s">
        <v>302</v>
      </c>
      <c r="C39" s="131">
        <v>1197</v>
      </c>
      <c r="D39" s="131">
        <v>2553.33</v>
      </c>
      <c r="E39" s="131">
        <v>1158</v>
      </c>
      <c r="F39" s="131">
        <v>1580.27</v>
      </c>
      <c r="G39" s="131">
        <v>5</v>
      </c>
      <c r="H39" s="131">
        <v>510.55</v>
      </c>
      <c r="I39" s="131">
        <v>724</v>
      </c>
      <c r="J39" s="131">
        <v>1117.01</v>
      </c>
      <c r="K39" s="131">
        <f t="shared" si="0"/>
        <v>1926</v>
      </c>
      <c r="L39" s="131">
        <f t="shared" si="1"/>
        <v>4180.89</v>
      </c>
      <c r="M39" s="132">
        <f>L39*100/'Pri Sec_outstanding_6'!R39</f>
        <v>27.39950193328528</v>
      </c>
    </row>
    <row r="40" spans="1:13" ht="13.5">
      <c r="A40" s="79">
        <v>33</v>
      </c>
      <c r="B40" s="130" t="s">
        <v>303</v>
      </c>
      <c r="C40" s="131">
        <v>116483</v>
      </c>
      <c r="D40" s="131">
        <v>245028.09</v>
      </c>
      <c r="E40" s="131">
        <v>26377</v>
      </c>
      <c r="F40" s="131">
        <v>125163.61</v>
      </c>
      <c r="G40" s="131">
        <v>13</v>
      </c>
      <c r="H40" s="131">
        <v>550.85</v>
      </c>
      <c r="I40" s="131">
        <v>1427</v>
      </c>
      <c r="J40" s="131">
        <v>49860.14</v>
      </c>
      <c r="K40" s="131">
        <f t="shared" si="0"/>
        <v>117923</v>
      </c>
      <c r="L40" s="131">
        <f t="shared" si="1"/>
        <v>295439.08</v>
      </c>
      <c r="M40" s="132">
        <f>L40*100/'Pri Sec_outstanding_6'!R40</f>
        <v>26.349598832708423</v>
      </c>
    </row>
    <row r="41" spans="1:13" ht="13.5">
      <c r="A41" s="79">
        <v>34</v>
      </c>
      <c r="B41" s="130" t="s">
        <v>304</v>
      </c>
      <c r="C41" s="131">
        <v>111028.06999999999</v>
      </c>
      <c r="D41" s="131">
        <v>208722.22348100098</v>
      </c>
      <c r="E41" s="131">
        <v>71725</v>
      </c>
      <c r="F41" s="131">
        <v>137193</v>
      </c>
      <c r="G41" s="131">
        <v>334.758</v>
      </c>
      <c r="H41" s="131">
        <v>5397.98853830175</v>
      </c>
      <c r="I41" s="131">
        <v>223.172</v>
      </c>
      <c r="J41" s="131">
        <v>25790.389682997247</v>
      </c>
      <c r="K41" s="131">
        <f t="shared" si="0"/>
        <v>111586</v>
      </c>
      <c r="L41" s="131">
        <f t="shared" si="1"/>
        <v>239910.6017023</v>
      </c>
      <c r="M41" s="132">
        <f>L41*100/'Pri Sec_outstanding_6'!R41</f>
        <v>23.09492357826552</v>
      </c>
    </row>
    <row r="42" spans="1:13" ht="13.5">
      <c r="A42" s="79">
        <v>35</v>
      </c>
      <c r="B42" s="130" t="s">
        <v>305</v>
      </c>
      <c r="C42" s="131">
        <v>5107</v>
      </c>
      <c r="D42" s="131">
        <v>45848</v>
      </c>
      <c r="E42" s="131">
        <v>4809</v>
      </c>
      <c r="F42" s="131">
        <v>32167</v>
      </c>
      <c r="G42" s="131">
        <v>17</v>
      </c>
      <c r="H42" s="131">
        <v>267</v>
      </c>
      <c r="I42" s="131">
        <v>11</v>
      </c>
      <c r="J42" s="131">
        <v>2051</v>
      </c>
      <c r="K42" s="131">
        <f t="shared" si="0"/>
        <v>5135</v>
      </c>
      <c r="L42" s="131">
        <f t="shared" si="1"/>
        <v>48166</v>
      </c>
      <c r="M42" s="132">
        <f>L42*100/'Pri Sec_outstanding_6'!R42</f>
        <v>20.153053752913166</v>
      </c>
    </row>
    <row r="43" spans="1:13" ht="13.5">
      <c r="A43" s="79">
        <v>36</v>
      </c>
      <c r="B43" s="130" t="s">
        <v>255</v>
      </c>
      <c r="C43" s="131">
        <v>59835</v>
      </c>
      <c r="D43" s="131">
        <v>10720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f t="shared" si="0"/>
        <v>59835</v>
      </c>
      <c r="L43" s="131">
        <f t="shared" si="1"/>
        <v>10720</v>
      </c>
      <c r="M43" s="132">
        <f>L43*100/'Pri Sec_outstanding_6'!R43</f>
        <v>25.85125880196778</v>
      </c>
    </row>
    <row r="44" spans="1:13" ht="13.5">
      <c r="A44" s="79">
        <v>37</v>
      </c>
      <c r="B44" s="130" t="s">
        <v>306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3</v>
      </c>
      <c r="J44" s="131">
        <v>20</v>
      </c>
      <c r="K44" s="131">
        <f t="shared" si="0"/>
        <v>3</v>
      </c>
      <c r="L44" s="131">
        <f t="shared" si="1"/>
        <v>20</v>
      </c>
      <c r="M44" s="132">
        <f>L44*100/'Pri Sec_outstanding_6'!R44</f>
        <v>1.3020833333333333</v>
      </c>
    </row>
    <row r="45" spans="1:13" ht="13.5">
      <c r="A45" s="79">
        <v>38</v>
      </c>
      <c r="B45" s="130" t="s">
        <v>307</v>
      </c>
      <c r="C45" s="131">
        <v>0</v>
      </c>
      <c r="D45" s="131">
        <v>0</v>
      </c>
      <c r="E45" s="131">
        <v>3100</v>
      </c>
      <c r="F45" s="131">
        <v>3536</v>
      </c>
      <c r="G45" s="131">
        <v>0</v>
      </c>
      <c r="H45" s="131">
        <v>0</v>
      </c>
      <c r="I45" s="131">
        <v>2473</v>
      </c>
      <c r="J45" s="131">
        <v>2100</v>
      </c>
      <c r="K45" s="131">
        <f t="shared" si="0"/>
        <v>2473</v>
      </c>
      <c r="L45" s="131">
        <f t="shared" si="1"/>
        <v>2100</v>
      </c>
      <c r="M45" s="132">
        <f>L45*100/'Pri Sec_outstanding_6'!R45</f>
        <v>6.408495834477708</v>
      </c>
    </row>
    <row r="46" spans="1:13" ht="13.5">
      <c r="A46" s="79">
        <v>39</v>
      </c>
      <c r="B46" s="130" t="s">
        <v>95</v>
      </c>
      <c r="C46" s="131">
        <v>6</v>
      </c>
      <c r="D46" s="131">
        <v>16.76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f t="shared" si="0"/>
        <v>6</v>
      </c>
      <c r="L46" s="131">
        <f t="shared" si="1"/>
        <v>16.76</v>
      </c>
      <c r="M46" s="132">
        <f>L46*100/'Pri Sec_outstanding_6'!R46</f>
        <v>0.11932222696853198</v>
      </c>
    </row>
    <row r="47" spans="1:13" ht="13.5">
      <c r="A47" s="79">
        <v>40</v>
      </c>
      <c r="B47" s="130" t="s">
        <v>308</v>
      </c>
      <c r="C47" s="131">
        <v>29002</v>
      </c>
      <c r="D47" s="131">
        <v>61278.31</v>
      </c>
      <c r="E47" s="131">
        <v>0</v>
      </c>
      <c r="F47" s="131">
        <v>0</v>
      </c>
      <c r="G47" s="131">
        <v>367</v>
      </c>
      <c r="H47" s="131">
        <v>1516.33</v>
      </c>
      <c r="I47" s="131">
        <v>583</v>
      </c>
      <c r="J47" s="131">
        <v>18307.76</v>
      </c>
      <c r="K47" s="131">
        <f t="shared" si="0"/>
        <v>29952</v>
      </c>
      <c r="L47" s="131">
        <f t="shared" si="1"/>
        <v>81102.4</v>
      </c>
      <c r="M47" s="132">
        <f>L47*100/'Pri Sec_outstanding_6'!R47</f>
        <v>41.04995697727387</v>
      </c>
    </row>
    <row r="48" spans="1:13" ht="13.5">
      <c r="A48" s="79">
        <v>41</v>
      </c>
      <c r="B48" s="130" t="s">
        <v>309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f t="shared" si="0"/>
        <v>0</v>
      </c>
      <c r="L48" s="131">
        <f t="shared" si="1"/>
        <v>0</v>
      </c>
      <c r="M48" s="132">
        <f>L48*100/'Pri Sec_outstanding_6'!R48</f>
        <v>0</v>
      </c>
    </row>
    <row r="49" spans="1:13" ht="13.5">
      <c r="A49" s="79">
        <v>42</v>
      </c>
      <c r="B49" s="139" t="s">
        <v>267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6.36</v>
      </c>
      <c r="K49" s="131">
        <f t="shared" si="0"/>
        <v>0</v>
      </c>
      <c r="L49" s="131">
        <f t="shared" si="1"/>
        <v>6.36</v>
      </c>
      <c r="M49" s="132">
        <f>L49*100/'Pri Sec_outstanding_6'!R49</f>
        <v>0.13316582914572864</v>
      </c>
    </row>
    <row r="50" spans="1:13" ht="13.5">
      <c r="A50" s="79">
        <v>43</v>
      </c>
      <c r="B50" s="130" t="s">
        <v>311</v>
      </c>
      <c r="C50" s="131">
        <v>4277</v>
      </c>
      <c r="D50" s="131">
        <v>9017.77205205999</v>
      </c>
      <c r="E50" s="131">
        <v>2497</v>
      </c>
      <c r="F50" s="131">
        <v>6070.9509256</v>
      </c>
      <c r="G50" s="131">
        <v>91</v>
      </c>
      <c r="H50" s="131">
        <v>1306.0384973</v>
      </c>
      <c r="I50" s="131">
        <v>125</v>
      </c>
      <c r="J50" s="131">
        <v>5118.4423801</v>
      </c>
      <c r="K50" s="131">
        <f t="shared" si="0"/>
        <v>4493</v>
      </c>
      <c r="L50" s="131">
        <f t="shared" si="1"/>
        <v>15442.252929459992</v>
      </c>
      <c r="M50" s="132">
        <f>L50*100/'Pri Sec_outstanding_6'!R50</f>
        <v>19.703519403722385</v>
      </c>
    </row>
    <row r="51" spans="1:13" ht="13.5">
      <c r="A51" s="79">
        <v>44</v>
      </c>
      <c r="B51" s="130" t="s">
        <v>78</v>
      </c>
      <c r="C51" s="131">
        <v>7086</v>
      </c>
      <c r="D51" s="131">
        <v>16639.91</v>
      </c>
      <c r="E51" s="131">
        <v>0</v>
      </c>
      <c r="F51" s="131">
        <v>0</v>
      </c>
      <c r="G51" s="131">
        <v>14</v>
      </c>
      <c r="H51" s="131">
        <v>3876.04</v>
      </c>
      <c r="I51" s="131">
        <v>44</v>
      </c>
      <c r="J51" s="131">
        <v>8281.58</v>
      </c>
      <c r="K51" s="131">
        <f t="shared" si="0"/>
        <v>7144</v>
      </c>
      <c r="L51" s="131">
        <f t="shared" si="1"/>
        <v>28797.53</v>
      </c>
      <c r="M51" s="132">
        <f>L51*100/'Pri Sec_outstanding_6'!R51</f>
        <v>36.406485461441214</v>
      </c>
    </row>
    <row r="52" spans="1:13" ht="13.5">
      <c r="A52" s="82"/>
      <c r="B52" s="137" t="s">
        <v>274</v>
      </c>
      <c r="C52" s="138">
        <f>SUM(C35:C51)</f>
        <v>426291.07</v>
      </c>
      <c r="D52" s="138">
        <f aca="true" t="shared" si="4" ref="D52:J52">SUM(D35:D51)</f>
        <v>678318.579043061</v>
      </c>
      <c r="E52" s="138">
        <f t="shared" si="4"/>
        <v>112637</v>
      </c>
      <c r="F52" s="138">
        <f t="shared" si="4"/>
        <v>319964.8109256</v>
      </c>
      <c r="G52" s="138">
        <f t="shared" si="4"/>
        <v>875.758</v>
      </c>
      <c r="H52" s="138">
        <f t="shared" si="4"/>
        <v>15829.79371640175</v>
      </c>
      <c r="I52" s="138">
        <f t="shared" si="4"/>
        <v>5757.1720000000005</v>
      </c>
      <c r="J52" s="138">
        <f t="shared" si="4"/>
        <v>126712.14086239724</v>
      </c>
      <c r="K52" s="138">
        <f>SUM(K35:K51)</f>
        <v>432924</v>
      </c>
      <c r="L52" s="138">
        <f>SUM(L35:L51)</f>
        <v>820860.5136218601</v>
      </c>
      <c r="M52" s="129">
        <f>L52*100/'Pri Sec_outstanding_6'!R52</f>
        <v>23.53903203443351</v>
      </c>
    </row>
    <row r="53" spans="1:13" ht="13.5">
      <c r="A53" s="79">
        <v>45</v>
      </c>
      <c r="B53" s="130" t="s">
        <v>48</v>
      </c>
      <c r="C53" s="131">
        <v>163307</v>
      </c>
      <c r="D53" s="131">
        <v>224268</v>
      </c>
      <c r="E53" s="131">
        <v>125198</v>
      </c>
      <c r="F53" s="131">
        <v>191427</v>
      </c>
      <c r="G53" s="131">
        <v>86</v>
      </c>
      <c r="H53" s="131">
        <v>5404</v>
      </c>
      <c r="I53" s="131">
        <v>193</v>
      </c>
      <c r="J53" s="131">
        <v>115</v>
      </c>
      <c r="K53" s="131">
        <f t="shared" si="0"/>
        <v>163586</v>
      </c>
      <c r="L53" s="131">
        <f t="shared" si="1"/>
        <v>229787</v>
      </c>
      <c r="M53" s="132">
        <f>L53*100/'Pri Sec_outstanding_6'!R53</f>
        <v>60.261725869687794</v>
      </c>
    </row>
    <row r="54" spans="1:13" ht="13.5">
      <c r="A54" s="79">
        <v>46</v>
      </c>
      <c r="B54" s="130" t="s">
        <v>269</v>
      </c>
      <c r="C54" s="131">
        <v>222179</v>
      </c>
      <c r="D54" s="131">
        <v>167827</v>
      </c>
      <c r="E54" s="131">
        <v>203421</v>
      </c>
      <c r="F54" s="131">
        <v>145115</v>
      </c>
      <c r="G54" s="131">
        <v>0</v>
      </c>
      <c r="H54" s="131">
        <v>0</v>
      </c>
      <c r="I54" s="131">
        <v>0</v>
      </c>
      <c r="J54" s="131">
        <v>0</v>
      </c>
      <c r="K54" s="131">
        <f t="shared" si="0"/>
        <v>222179</v>
      </c>
      <c r="L54" s="131">
        <f t="shared" si="1"/>
        <v>167827</v>
      </c>
      <c r="M54" s="132">
        <f>L54*100/'Pri Sec_outstanding_6'!R54</f>
        <v>65.13101724646455</v>
      </c>
    </row>
    <row r="55" spans="1:13" ht="13.5">
      <c r="A55" s="79">
        <v>47</v>
      </c>
      <c r="B55" s="130" t="s">
        <v>54</v>
      </c>
      <c r="C55" s="131">
        <v>185703</v>
      </c>
      <c r="D55" s="131">
        <v>276487.75</v>
      </c>
      <c r="E55" s="131">
        <v>185703</v>
      </c>
      <c r="F55" s="131">
        <v>276487.75</v>
      </c>
      <c r="G55" s="131">
        <v>0</v>
      </c>
      <c r="H55" s="131">
        <v>0</v>
      </c>
      <c r="I55" s="131">
        <v>20535</v>
      </c>
      <c r="J55" s="131">
        <v>18753.07</v>
      </c>
      <c r="K55" s="131">
        <f t="shared" si="0"/>
        <v>206238</v>
      </c>
      <c r="L55" s="131">
        <f t="shared" si="1"/>
        <v>295240.82</v>
      </c>
      <c r="M55" s="132">
        <f>L55*100/'Pri Sec_outstanding_6'!R55</f>
        <v>68.41448293549486</v>
      </c>
    </row>
    <row r="56" spans="1:13" ht="13.5">
      <c r="A56" s="82"/>
      <c r="B56" s="137" t="s">
        <v>270</v>
      </c>
      <c r="C56" s="138">
        <f>SUM(C53:C55)</f>
        <v>571189</v>
      </c>
      <c r="D56" s="138">
        <f aca="true" t="shared" si="5" ref="D56:J56">SUM(D53:D55)</f>
        <v>668582.75</v>
      </c>
      <c r="E56" s="138">
        <f t="shared" si="5"/>
        <v>514322</v>
      </c>
      <c r="F56" s="138">
        <f t="shared" si="5"/>
        <v>613029.75</v>
      </c>
      <c r="G56" s="138">
        <f t="shared" si="5"/>
        <v>86</v>
      </c>
      <c r="H56" s="138">
        <f t="shared" si="5"/>
        <v>5404</v>
      </c>
      <c r="I56" s="138">
        <f t="shared" si="5"/>
        <v>20728</v>
      </c>
      <c r="J56" s="138">
        <f t="shared" si="5"/>
        <v>18868.07</v>
      </c>
      <c r="K56" s="138">
        <f>SUM(K53:K55)</f>
        <v>592003</v>
      </c>
      <c r="L56" s="138">
        <f>SUM(L53:L55)</f>
        <v>692854.8200000001</v>
      </c>
      <c r="M56" s="129">
        <f>L56*100/'Pri Sec_outstanding_6'!R56</f>
        <v>64.72023019499912</v>
      </c>
    </row>
    <row r="57" spans="1:13" ht="13.5">
      <c r="A57" s="79">
        <v>48</v>
      </c>
      <c r="B57" s="130" t="s">
        <v>312</v>
      </c>
      <c r="C57" s="131">
        <v>5298069</v>
      </c>
      <c r="D57" s="131">
        <v>1071055</v>
      </c>
      <c r="E57" s="131">
        <v>5286827</v>
      </c>
      <c r="F57" s="131">
        <v>1048412</v>
      </c>
      <c r="G57" s="131">
        <v>0</v>
      </c>
      <c r="H57" s="131">
        <v>0</v>
      </c>
      <c r="I57" s="131">
        <v>0</v>
      </c>
      <c r="J57" s="131">
        <v>0</v>
      </c>
      <c r="K57" s="131">
        <f t="shared" si="0"/>
        <v>5298069</v>
      </c>
      <c r="L57" s="131">
        <f t="shared" si="1"/>
        <v>1071055</v>
      </c>
      <c r="M57" s="132">
        <f>L57*100/'Pri Sec_outstanding_6'!R57</f>
        <v>93.84534100646808</v>
      </c>
    </row>
    <row r="58" spans="1:13" ht="13.5">
      <c r="A58" s="82"/>
      <c r="B58" s="137" t="s">
        <v>275</v>
      </c>
      <c r="C58" s="138">
        <f>C57</f>
        <v>5298069</v>
      </c>
      <c r="D58" s="138">
        <f aca="true" t="shared" si="6" ref="D58:J58">D57</f>
        <v>1071055</v>
      </c>
      <c r="E58" s="138">
        <f t="shared" si="6"/>
        <v>5286827</v>
      </c>
      <c r="F58" s="138">
        <f t="shared" si="6"/>
        <v>1048412</v>
      </c>
      <c r="G58" s="138">
        <f t="shared" si="6"/>
        <v>0</v>
      </c>
      <c r="H58" s="138">
        <f t="shared" si="6"/>
        <v>0</v>
      </c>
      <c r="I58" s="138">
        <f t="shared" si="6"/>
        <v>0</v>
      </c>
      <c r="J58" s="138">
        <f t="shared" si="6"/>
        <v>0</v>
      </c>
      <c r="K58" s="138">
        <f>K57</f>
        <v>5298069</v>
      </c>
      <c r="L58" s="138">
        <f>L57</f>
        <v>1071055</v>
      </c>
      <c r="M58" s="129">
        <f>L58*100/'Pri Sec_outstanding_6'!R58</f>
        <v>93.84534100646808</v>
      </c>
    </row>
    <row r="59" spans="1:13" ht="13.5">
      <c r="A59" s="82"/>
      <c r="B59" s="137" t="s">
        <v>276</v>
      </c>
      <c r="C59" s="138">
        <f>C58+C56+C52+C34+C27</f>
        <v>8209992.07</v>
      </c>
      <c r="D59" s="138">
        <f aca="true" t="shared" si="7" ref="D59:J59">D58+D56+D52+D34+D27</f>
        <v>5775614.204805361</v>
      </c>
      <c r="E59" s="138">
        <f t="shared" si="7"/>
        <v>7617216</v>
      </c>
      <c r="F59" s="138">
        <f t="shared" si="7"/>
        <v>4812803.4679542</v>
      </c>
      <c r="G59" s="138">
        <f t="shared" si="7"/>
        <v>108962.758</v>
      </c>
      <c r="H59" s="138">
        <f t="shared" si="7"/>
        <v>262529.85973610176</v>
      </c>
      <c r="I59" s="138">
        <f t="shared" si="7"/>
        <v>168226.172</v>
      </c>
      <c r="J59" s="138">
        <f t="shared" si="7"/>
        <v>604593.9457124972</v>
      </c>
      <c r="K59" s="138">
        <f>K58+K56+K52+K34+K27</f>
        <v>8487181</v>
      </c>
      <c r="L59" s="138">
        <f>L58+L56+L52+L34+L27</f>
        <v>6642738.01025396</v>
      </c>
      <c r="M59" s="129">
        <f>L59*100/'Pri Sec_outstanding_6'!R59</f>
        <v>31.7934361057492</v>
      </c>
    </row>
    <row r="61" spans="3:15" s="145" customFormat="1" ht="13.5"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</row>
    <row r="62" spans="1:15" ht="13.5">
      <c r="A62" s="145"/>
      <c r="B62" s="145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5"/>
    </row>
    <row r="63" spans="1:15" ht="13.5">
      <c r="A63" s="145"/>
      <c r="B63" s="145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5"/>
    </row>
    <row r="64" spans="1:14" ht="13.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</row>
  </sheetData>
  <sheetProtection/>
  <mergeCells count="10">
    <mergeCell ref="A1:L1"/>
    <mergeCell ref="A3:A5"/>
    <mergeCell ref="B3:B5"/>
    <mergeCell ref="C3:L3"/>
    <mergeCell ref="M3:M5"/>
    <mergeCell ref="C4:D4"/>
    <mergeCell ref="G4:H4"/>
    <mergeCell ref="I4:J4"/>
    <mergeCell ref="K4:L4"/>
    <mergeCell ref="E4:F4"/>
  </mergeCells>
  <conditionalFormatting sqref="B6">
    <cfRule type="duplicateValues" priority="5" dxfId="197">
      <formula>AND(COUNTIF($B$6:$B$6,B6)&gt;1,NOT(ISBLANK(B6)))</formula>
    </cfRule>
  </conditionalFormatting>
  <conditionalFormatting sqref="B22">
    <cfRule type="duplicateValues" priority="6" dxfId="197">
      <formula>AND(COUNTIF($B$22:$B$22,B22)&gt;1,NOT(ISBLANK(B22)))</formula>
    </cfRule>
  </conditionalFormatting>
  <conditionalFormatting sqref="B33:B34 B26:B30">
    <cfRule type="duplicateValues" priority="7" dxfId="197">
      <formula>AND(COUNTIF($B$33:$B$34,B26)+COUNTIF($B$26:$B$30,B26)&gt;1,NOT(ISBLANK(B26)))</formula>
    </cfRule>
  </conditionalFormatting>
  <conditionalFormatting sqref="B52">
    <cfRule type="duplicateValues" priority="8" dxfId="197">
      <formula>AND(COUNTIF($B$52:$B$52,B52)&gt;1,NOT(ISBLANK(B52)))</formula>
    </cfRule>
  </conditionalFormatting>
  <conditionalFormatting sqref="B56">
    <cfRule type="duplicateValues" priority="9" dxfId="197">
      <formula>AND(COUNTIF($B$56:$B$56,B56)&gt;1,NOT(ISBLANK(B56)))</formula>
    </cfRule>
  </conditionalFormatting>
  <conditionalFormatting sqref="B58">
    <cfRule type="duplicateValues" priority="10" dxfId="197">
      <formula>AND(COUNTIF($B$58:$B$58,B58)&gt;1,NOT(ISBLANK(B58)))</formula>
    </cfRule>
  </conditionalFormatting>
  <conditionalFormatting sqref="M1:M65536">
    <cfRule type="cellIs" priority="4" dxfId="198" operator="lessThan" stopIfTrue="1">
      <formula>18</formula>
    </cfRule>
  </conditionalFormatting>
  <printOptions/>
  <pageMargins left="0.45" right="0.45" top="0.5" bottom="0.5" header="0.3" footer="0.3"/>
  <pageSetup horizontalDpi="600" verticalDpi="600" orientation="portrait" paperSize="9" scale="80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67"/>
  <sheetViews>
    <sheetView view="pageBreakPreview" zoomScale="60" zoomScalePageLayoutView="0" workbookViewId="0" topLeftCell="A1">
      <pane xSplit="2" ySplit="5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62" sqref="H62"/>
    </sheetView>
  </sheetViews>
  <sheetFormatPr defaultColWidth="4.421875" defaultRowHeight="12.75"/>
  <cols>
    <col min="1" max="1" width="4.421875" style="85" customWidth="1"/>
    <col min="2" max="2" width="24.421875" style="85" customWidth="1"/>
    <col min="3" max="3" width="10.57421875" style="141" bestFit="1" customWidth="1"/>
    <col min="4" max="4" width="10.57421875" style="85" bestFit="1" customWidth="1"/>
    <col min="5" max="5" width="9.140625" style="85" bestFit="1" customWidth="1"/>
    <col min="6" max="6" width="11.140625" style="85" bestFit="1" customWidth="1"/>
    <col min="7" max="7" width="7.7109375" style="85" bestFit="1" customWidth="1"/>
    <col min="8" max="8" width="10.140625" style="85" bestFit="1" customWidth="1"/>
    <col min="9" max="9" width="12.00390625" style="85" bestFit="1" customWidth="1"/>
    <col min="10" max="10" width="8.7109375" style="85" bestFit="1" customWidth="1"/>
    <col min="11" max="11" width="10.421875" style="85" bestFit="1" customWidth="1"/>
    <col min="12" max="12" width="10.140625" style="85" bestFit="1" customWidth="1"/>
    <col min="13" max="13" width="10.57421875" style="85" bestFit="1" customWidth="1"/>
    <col min="14" max="14" width="12.00390625" style="85" bestFit="1" customWidth="1"/>
    <col min="15" max="15" width="11.8515625" style="141" hidden="1" customWidth="1"/>
    <col min="16" max="17" width="4.421875" style="85" customWidth="1"/>
    <col min="18" max="18" width="11.7109375" style="85" customWidth="1"/>
    <col min="19" max="19" width="14.140625" style="85" bestFit="1" customWidth="1"/>
    <col min="20" max="20" width="12.00390625" style="85" customWidth="1"/>
    <col min="21" max="16384" width="4.421875" style="85" customWidth="1"/>
  </cols>
  <sheetData>
    <row r="1" spans="1:14" ht="18.75">
      <c r="A1" s="564" t="s">
        <v>138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</row>
    <row r="2" spans="2:12" ht="13.5">
      <c r="B2" s="140" t="s">
        <v>141</v>
      </c>
      <c r="I2" s="85" t="s">
        <v>161</v>
      </c>
      <c r="L2" s="85" t="s">
        <v>140</v>
      </c>
    </row>
    <row r="3" spans="1:15" ht="13.5" customHeight="1">
      <c r="A3" s="565" t="s">
        <v>124</v>
      </c>
      <c r="B3" s="565" t="s">
        <v>102</v>
      </c>
      <c r="C3" s="568" t="s">
        <v>131</v>
      </c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69"/>
      <c r="O3" s="567" t="s">
        <v>324</v>
      </c>
    </row>
    <row r="4" spans="1:15" ht="15" customHeight="1">
      <c r="A4" s="565"/>
      <c r="B4" s="565"/>
      <c r="C4" s="568" t="s">
        <v>133</v>
      </c>
      <c r="D4" s="569"/>
      <c r="E4" s="568" t="s">
        <v>134</v>
      </c>
      <c r="F4" s="569"/>
      <c r="G4" s="568" t="s">
        <v>135</v>
      </c>
      <c r="H4" s="569"/>
      <c r="I4" s="568" t="s">
        <v>136</v>
      </c>
      <c r="J4" s="569"/>
      <c r="K4" s="568" t="s">
        <v>139</v>
      </c>
      <c r="L4" s="569"/>
      <c r="M4" s="568" t="s">
        <v>1</v>
      </c>
      <c r="N4" s="569"/>
      <c r="O4" s="567"/>
    </row>
    <row r="5" spans="1:15" ht="13.5">
      <c r="A5" s="565"/>
      <c r="B5" s="565"/>
      <c r="C5" s="143" t="s">
        <v>315</v>
      </c>
      <c r="D5" s="143" t="s">
        <v>314</v>
      </c>
      <c r="E5" s="143" t="s">
        <v>315</v>
      </c>
      <c r="F5" s="143" t="s">
        <v>314</v>
      </c>
      <c r="G5" s="143" t="s">
        <v>315</v>
      </c>
      <c r="H5" s="143" t="s">
        <v>314</v>
      </c>
      <c r="I5" s="143" t="s">
        <v>315</v>
      </c>
      <c r="J5" s="143" t="s">
        <v>314</v>
      </c>
      <c r="K5" s="143" t="s">
        <v>315</v>
      </c>
      <c r="L5" s="143" t="s">
        <v>314</v>
      </c>
      <c r="M5" s="143" t="s">
        <v>315</v>
      </c>
      <c r="N5" s="143" t="s">
        <v>314</v>
      </c>
      <c r="O5" s="567"/>
    </row>
    <row r="6" spans="1:19" ht="14.25">
      <c r="A6" s="79">
        <v>1</v>
      </c>
      <c r="B6" s="130" t="s">
        <v>57</v>
      </c>
      <c r="C6" s="131">
        <v>24294</v>
      </c>
      <c r="D6" s="131">
        <v>66105.8</v>
      </c>
      <c r="E6" s="80">
        <v>4858</v>
      </c>
      <c r="F6" s="131">
        <v>80713.2</v>
      </c>
      <c r="G6" s="80">
        <v>245</v>
      </c>
      <c r="H6" s="131">
        <v>8831.36</v>
      </c>
      <c r="I6" s="80">
        <v>264</v>
      </c>
      <c r="J6" s="131">
        <v>455.11</v>
      </c>
      <c r="K6" s="80">
        <v>0</v>
      </c>
      <c r="L6" s="131">
        <v>0</v>
      </c>
      <c r="M6" s="131">
        <f>C6+E6+G6+I6+K6</f>
        <v>29661</v>
      </c>
      <c r="N6" s="131">
        <f>D6+F6+H6+J6+L6</f>
        <v>156105.46999999997</v>
      </c>
      <c r="O6" s="132">
        <f>N6*100/'Pri Sec_outstanding_6'!R6</f>
        <v>24.40589441889115</v>
      </c>
      <c r="R6" s="144" t="s">
        <v>151</v>
      </c>
      <c r="S6" s="166">
        <v>0.075</v>
      </c>
    </row>
    <row r="7" spans="1:20" ht="13.5">
      <c r="A7" s="79">
        <v>2</v>
      </c>
      <c r="B7" s="130" t="s">
        <v>58</v>
      </c>
      <c r="C7" s="131">
        <v>2563</v>
      </c>
      <c r="D7" s="131">
        <v>3939</v>
      </c>
      <c r="E7" s="80">
        <v>31</v>
      </c>
      <c r="F7" s="131">
        <v>2471</v>
      </c>
      <c r="G7" s="80">
        <v>9</v>
      </c>
      <c r="H7" s="131">
        <v>6707</v>
      </c>
      <c r="I7" s="80">
        <v>6</v>
      </c>
      <c r="J7" s="131">
        <v>49</v>
      </c>
      <c r="K7" s="80">
        <v>1336</v>
      </c>
      <c r="L7" s="131">
        <v>668</v>
      </c>
      <c r="M7" s="131">
        <f aca="true" t="shared" si="0" ref="M7:M57">C7+E7+G7+I7+K7</f>
        <v>3945</v>
      </c>
      <c r="N7" s="131">
        <f aca="true" t="shared" si="1" ref="N7:N57">D7+F7+H7+J7+L7</f>
        <v>13834</v>
      </c>
      <c r="O7" s="132">
        <f>N7*100/'Pri Sec_outstanding_6'!R7</f>
        <v>29.205987290729833</v>
      </c>
      <c r="R7" s="82" t="s">
        <v>158</v>
      </c>
      <c r="S7" s="82" t="s">
        <v>149</v>
      </c>
      <c r="T7" s="82" t="s">
        <v>150</v>
      </c>
    </row>
    <row r="8" spans="1:20" ht="13.5">
      <c r="A8" s="79">
        <v>3</v>
      </c>
      <c r="B8" s="130" t="s">
        <v>59</v>
      </c>
      <c r="C8" s="131">
        <v>17962</v>
      </c>
      <c r="D8" s="131">
        <v>128450</v>
      </c>
      <c r="E8" s="80">
        <v>3600</v>
      </c>
      <c r="F8" s="131">
        <v>110423</v>
      </c>
      <c r="G8" s="80">
        <v>124</v>
      </c>
      <c r="H8" s="131">
        <v>36664</v>
      </c>
      <c r="I8" s="80">
        <v>208</v>
      </c>
      <c r="J8" s="131">
        <v>2679.35</v>
      </c>
      <c r="K8" s="80">
        <v>9</v>
      </c>
      <c r="L8" s="131">
        <v>42</v>
      </c>
      <c r="M8" s="131">
        <f t="shared" si="0"/>
        <v>21903</v>
      </c>
      <c r="N8" s="131">
        <f t="shared" si="1"/>
        <v>278258.35</v>
      </c>
      <c r="O8" s="132">
        <f>N8*100/'Pri Sec_outstanding_6'!R8</f>
        <v>31.184394262019495</v>
      </c>
      <c r="R8" s="80" t="s">
        <v>133</v>
      </c>
      <c r="S8" s="80" t="s">
        <v>152</v>
      </c>
      <c r="T8" s="80" t="s">
        <v>153</v>
      </c>
    </row>
    <row r="9" spans="1:20" ht="13.5">
      <c r="A9" s="79">
        <v>4</v>
      </c>
      <c r="B9" s="130" t="s">
        <v>60</v>
      </c>
      <c r="C9" s="131">
        <v>64594</v>
      </c>
      <c r="D9" s="131">
        <v>135469.78</v>
      </c>
      <c r="E9" s="80">
        <v>4237</v>
      </c>
      <c r="F9" s="131">
        <v>123792.61</v>
      </c>
      <c r="G9" s="80">
        <v>204</v>
      </c>
      <c r="H9" s="131">
        <v>34431.9</v>
      </c>
      <c r="I9" s="80">
        <v>6</v>
      </c>
      <c r="J9" s="131">
        <v>2.24</v>
      </c>
      <c r="K9" s="80">
        <v>305</v>
      </c>
      <c r="L9" s="131">
        <v>77.48</v>
      </c>
      <c r="M9" s="131">
        <f t="shared" si="0"/>
        <v>69346</v>
      </c>
      <c r="N9" s="131">
        <f t="shared" si="1"/>
        <v>293774.01</v>
      </c>
      <c r="O9" s="132">
        <f>N9*100/'Pri Sec_outstanding_6'!R9</f>
        <v>17.90369361863953</v>
      </c>
      <c r="R9" s="80" t="s">
        <v>134</v>
      </c>
      <c r="S9" s="80" t="s">
        <v>154</v>
      </c>
      <c r="T9" s="80" t="s">
        <v>155</v>
      </c>
    </row>
    <row r="10" spans="1:20" ht="13.5">
      <c r="A10" s="79">
        <v>5</v>
      </c>
      <c r="B10" s="130" t="s">
        <v>61</v>
      </c>
      <c r="C10" s="131">
        <v>17239</v>
      </c>
      <c r="D10" s="131">
        <v>68298</v>
      </c>
      <c r="E10" s="80">
        <v>2143</v>
      </c>
      <c r="F10" s="131">
        <v>46189</v>
      </c>
      <c r="G10" s="80">
        <v>93</v>
      </c>
      <c r="H10" s="131">
        <v>7204</v>
      </c>
      <c r="I10" s="80">
        <v>0</v>
      </c>
      <c r="J10" s="131">
        <v>0</v>
      </c>
      <c r="K10" s="80">
        <v>0</v>
      </c>
      <c r="L10" s="131">
        <v>0</v>
      </c>
      <c r="M10" s="131">
        <f t="shared" si="0"/>
        <v>19475</v>
      </c>
      <c r="N10" s="131">
        <f t="shared" si="1"/>
        <v>121691</v>
      </c>
      <c r="O10" s="132">
        <f>N10*100/'Pri Sec_outstanding_6'!R10</f>
        <v>33.10454955984287</v>
      </c>
      <c r="R10" s="80" t="s">
        <v>135</v>
      </c>
      <c r="S10" s="80" t="s">
        <v>156</v>
      </c>
      <c r="T10" s="80" t="s">
        <v>157</v>
      </c>
    </row>
    <row r="11" spans="1:15" ht="13.5">
      <c r="A11" s="79">
        <v>6</v>
      </c>
      <c r="B11" s="133" t="s">
        <v>289</v>
      </c>
      <c r="C11" s="131">
        <v>307</v>
      </c>
      <c r="D11" s="131">
        <v>237.41</v>
      </c>
      <c r="E11" s="80">
        <v>32</v>
      </c>
      <c r="F11" s="131">
        <v>153.23</v>
      </c>
      <c r="G11" s="80">
        <v>0</v>
      </c>
      <c r="H11" s="131">
        <v>0</v>
      </c>
      <c r="I11" s="80">
        <v>0</v>
      </c>
      <c r="J11" s="131">
        <v>0</v>
      </c>
      <c r="K11" s="80">
        <v>0</v>
      </c>
      <c r="L11" s="131">
        <v>0</v>
      </c>
      <c r="M11" s="131">
        <f t="shared" si="0"/>
        <v>339</v>
      </c>
      <c r="N11" s="131">
        <f t="shared" si="1"/>
        <v>390.64</v>
      </c>
      <c r="O11" s="132">
        <f>N11*100/'Pri Sec_outstanding_6'!R11</f>
        <v>51.197903014416774</v>
      </c>
    </row>
    <row r="12" spans="1:15" ht="13.5">
      <c r="A12" s="79">
        <v>7</v>
      </c>
      <c r="B12" s="130" t="s">
        <v>62</v>
      </c>
      <c r="C12" s="131">
        <v>13731</v>
      </c>
      <c r="D12" s="131">
        <v>44732.87</v>
      </c>
      <c r="E12" s="80">
        <v>2510</v>
      </c>
      <c r="F12" s="131">
        <v>47954</v>
      </c>
      <c r="G12" s="80">
        <v>71</v>
      </c>
      <c r="H12" s="131">
        <v>8566</v>
      </c>
      <c r="I12" s="80">
        <v>218</v>
      </c>
      <c r="J12" s="131">
        <v>1090.13</v>
      </c>
      <c r="K12" s="80">
        <v>0</v>
      </c>
      <c r="L12" s="131">
        <v>0</v>
      </c>
      <c r="M12" s="131">
        <f t="shared" si="0"/>
        <v>16530</v>
      </c>
      <c r="N12" s="131">
        <f t="shared" si="1"/>
        <v>102343</v>
      </c>
      <c r="O12" s="132">
        <f>N12*100/'Pri Sec_outstanding_6'!R12</f>
        <v>25.043311865004014</v>
      </c>
    </row>
    <row r="13" spans="1:15" ht="13.5">
      <c r="A13" s="79">
        <v>8</v>
      </c>
      <c r="B13" s="130" t="s">
        <v>63</v>
      </c>
      <c r="C13" s="131">
        <v>21544</v>
      </c>
      <c r="D13" s="131">
        <v>96074.82999999999</v>
      </c>
      <c r="E13" s="80">
        <v>1837</v>
      </c>
      <c r="F13" s="131">
        <v>133112.40999999997</v>
      </c>
      <c r="G13" s="80">
        <v>28</v>
      </c>
      <c r="H13" s="131">
        <v>10389.44</v>
      </c>
      <c r="I13" s="80">
        <v>442</v>
      </c>
      <c r="J13" s="131">
        <v>1266.1799999999998</v>
      </c>
      <c r="K13" s="80">
        <v>212</v>
      </c>
      <c r="L13" s="131">
        <v>2019.47</v>
      </c>
      <c r="M13" s="131">
        <f t="shared" si="0"/>
        <v>24063</v>
      </c>
      <c r="N13" s="131">
        <f t="shared" si="1"/>
        <v>242862.32999999996</v>
      </c>
      <c r="O13" s="132">
        <f>N13*100/'Pri Sec_outstanding_6'!R13</f>
        <v>20.162581775312983</v>
      </c>
    </row>
    <row r="14" spans="1:15" ht="13.5">
      <c r="A14" s="79">
        <v>9</v>
      </c>
      <c r="B14" s="130" t="s">
        <v>50</v>
      </c>
      <c r="C14" s="131">
        <v>6431</v>
      </c>
      <c r="D14" s="131">
        <v>12672.93</v>
      </c>
      <c r="E14" s="80">
        <v>1047</v>
      </c>
      <c r="F14" s="131">
        <v>26037</v>
      </c>
      <c r="G14" s="80">
        <v>5</v>
      </c>
      <c r="H14" s="131">
        <v>1253</v>
      </c>
      <c r="I14" s="80">
        <v>114</v>
      </c>
      <c r="J14" s="131">
        <v>404.64</v>
      </c>
      <c r="K14" s="80">
        <v>10</v>
      </c>
      <c r="L14" s="131">
        <v>1981</v>
      </c>
      <c r="M14" s="131">
        <f t="shared" si="0"/>
        <v>7607</v>
      </c>
      <c r="N14" s="131">
        <f t="shared" si="1"/>
        <v>42348.57</v>
      </c>
      <c r="O14" s="132">
        <f>N14*100/'Pri Sec_outstanding_6'!R14</f>
        <v>15.197164296403157</v>
      </c>
    </row>
    <row r="15" spans="1:15" ht="13.5">
      <c r="A15" s="79">
        <v>10</v>
      </c>
      <c r="B15" s="130" t="s">
        <v>51</v>
      </c>
      <c r="C15" s="131">
        <v>9392</v>
      </c>
      <c r="D15" s="131">
        <v>25436</v>
      </c>
      <c r="E15" s="80">
        <v>286</v>
      </c>
      <c r="F15" s="131">
        <v>6053</v>
      </c>
      <c r="G15" s="80">
        <v>7</v>
      </c>
      <c r="H15" s="131">
        <v>1467</v>
      </c>
      <c r="I15" s="80">
        <v>51</v>
      </c>
      <c r="J15" s="131">
        <v>21</v>
      </c>
      <c r="K15" s="80">
        <v>0</v>
      </c>
      <c r="L15" s="131">
        <v>0</v>
      </c>
      <c r="M15" s="131">
        <f t="shared" si="0"/>
        <v>9736</v>
      </c>
      <c r="N15" s="131">
        <f t="shared" si="1"/>
        <v>32977</v>
      </c>
      <c r="O15" s="132">
        <f>N15*100/'Pri Sec_outstanding_6'!R15</f>
        <v>18.330637406128925</v>
      </c>
    </row>
    <row r="16" spans="1:15" ht="13.5">
      <c r="A16" s="79">
        <v>11</v>
      </c>
      <c r="B16" s="130" t="s">
        <v>290</v>
      </c>
      <c r="C16" s="131">
        <v>22892</v>
      </c>
      <c r="D16" s="131">
        <v>48438</v>
      </c>
      <c r="E16" s="80">
        <v>498</v>
      </c>
      <c r="F16" s="131">
        <v>24196</v>
      </c>
      <c r="G16" s="80">
        <v>32</v>
      </c>
      <c r="H16" s="131">
        <v>6224</v>
      </c>
      <c r="I16" s="80">
        <v>38</v>
      </c>
      <c r="J16" s="131">
        <v>6595</v>
      </c>
      <c r="K16" s="80">
        <v>0</v>
      </c>
      <c r="L16" s="131">
        <v>0</v>
      </c>
      <c r="M16" s="131">
        <f t="shared" si="0"/>
        <v>23460</v>
      </c>
      <c r="N16" s="131">
        <f t="shared" si="1"/>
        <v>85453</v>
      </c>
      <c r="O16" s="132">
        <f>N16*100/'Pri Sec_outstanding_6'!R16</f>
        <v>21.33514095179601</v>
      </c>
    </row>
    <row r="17" spans="1:15" ht="13.5">
      <c r="A17" s="79">
        <v>12</v>
      </c>
      <c r="B17" s="130" t="s">
        <v>64</v>
      </c>
      <c r="C17" s="131">
        <v>1867</v>
      </c>
      <c r="D17" s="131">
        <v>4719</v>
      </c>
      <c r="E17" s="80">
        <v>108</v>
      </c>
      <c r="F17" s="131">
        <v>910.94</v>
      </c>
      <c r="G17" s="80">
        <v>9</v>
      </c>
      <c r="H17" s="131">
        <v>105.96</v>
      </c>
      <c r="I17" s="80">
        <v>86</v>
      </c>
      <c r="J17" s="131">
        <v>296</v>
      </c>
      <c r="K17" s="80">
        <v>0</v>
      </c>
      <c r="L17" s="131">
        <v>0</v>
      </c>
      <c r="M17" s="131">
        <f t="shared" si="0"/>
        <v>2070</v>
      </c>
      <c r="N17" s="131">
        <f t="shared" si="1"/>
        <v>6031.900000000001</v>
      </c>
      <c r="O17" s="132">
        <f>N17*100/'Pri Sec_outstanding_6'!R17</f>
        <v>8.655962962426155</v>
      </c>
    </row>
    <row r="18" spans="1:15" ht="13.5">
      <c r="A18" s="79">
        <v>13</v>
      </c>
      <c r="B18" s="130" t="s">
        <v>65</v>
      </c>
      <c r="C18" s="131">
        <v>796</v>
      </c>
      <c r="D18" s="131">
        <v>8330</v>
      </c>
      <c r="E18" s="80">
        <v>487</v>
      </c>
      <c r="F18" s="131">
        <v>11862</v>
      </c>
      <c r="G18" s="80">
        <v>23</v>
      </c>
      <c r="H18" s="131">
        <v>4324</v>
      </c>
      <c r="I18" s="80">
        <v>153</v>
      </c>
      <c r="J18" s="131">
        <v>1224.08</v>
      </c>
      <c r="K18" s="80">
        <v>187</v>
      </c>
      <c r="L18" s="131">
        <v>8469</v>
      </c>
      <c r="M18" s="131">
        <f t="shared" si="0"/>
        <v>1646</v>
      </c>
      <c r="N18" s="131">
        <f t="shared" si="1"/>
        <v>34209.08</v>
      </c>
      <c r="O18" s="132">
        <f>N18*100/'Pri Sec_outstanding_6'!R18</f>
        <v>36.019415840124665</v>
      </c>
    </row>
    <row r="19" spans="1:15" ht="13.5">
      <c r="A19" s="79">
        <v>14</v>
      </c>
      <c r="B19" s="134" t="s">
        <v>316</v>
      </c>
      <c r="C19" s="131">
        <v>7428</v>
      </c>
      <c r="D19" s="131">
        <v>24132.36</v>
      </c>
      <c r="E19" s="80">
        <v>1084</v>
      </c>
      <c r="F19" s="131">
        <v>20163.14</v>
      </c>
      <c r="G19" s="80">
        <v>48</v>
      </c>
      <c r="H19" s="131">
        <v>1977.48</v>
      </c>
      <c r="I19" s="80">
        <v>0</v>
      </c>
      <c r="J19" s="131">
        <v>0</v>
      </c>
      <c r="K19" s="80">
        <v>78</v>
      </c>
      <c r="L19" s="131">
        <v>64.84</v>
      </c>
      <c r="M19" s="131">
        <f t="shared" si="0"/>
        <v>8638</v>
      </c>
      <c r="N19" s="131">
        <f t="shared" si="1"/>
        <v>46337.82</v>
      </c>
      <c r="O19" s="132">
        <f>N19*100/'Pri Sec_outstanding_6'!R19</f>
        <v>21.754947206324914</v>
      </c>
    </row>
    <row r="20" spans="1:15" ht="13.5">
      <c r="A20" s="79">
        <v>15</v>
      </c>
      <c r="B20" s="130" t="s">
        <v>292</v>
      </c>
      <c r="C20" s="131">
        <v>1766</v>
      </c>
      <c r="D20" s="131">
        <v>8896</v>
      </c>
      <c r="E20" s="80">
        <v>4121</v>
      </c>
      <c r="F20" s="131">
        <v>20756</v>
      </c>
      <c r="G20" s="80">
        <v>2</v>
      </c>
      <c r="H20" s="131">
        <v>790</v>
      </c>
      <c r="I20" s="80">
        <v>55</v>
      </c>
      <c r="J20" s="131">
        <v>26.1</v>
      </c>
      <c r="K20" s="80">
        <v>0</v>
      </c>
      <c r="L20" s="131">
        <v>0</v>
      </c>
      <c r="M20" s="131">
        <f t="shared" si="0"/>
        <v>5944</v>
      </c>
      <c r="N20" s="131">
        <f t="shared" si="1"/>
        <v>30468.1</v>
      </c>
      <c r="O20" s="132">
        <f>N20*100/'Pri Sec_outstanding_6'!R20</f>
        <v>47.93068730630673</v>
      </c>
    </row>
    <row r="21" spans="1:15" ht="13.5">
      <c r="A21" s="79">
        <v>16</v>
      </c>
      <c r="B21" s="130" t="s">
        <v>66</v>
      </c>
      <c r="C21" s="131">
        <v>29170</v>
      </c>
      <c r="D21" s="131">
        <v>105444</v>
      </c>
      <c r="E21" s="80">
        <v>2560</v>
      </c>
      <c r="F21" s="131">
        <v>158025</v>
      </c>
      <c r="G21" s="80">
        <v>126</v>
      </c>
      <c r="H21" s="131">
        <v>39039</v>
      </c>
      <c r="I21" s="80">
        <v>33</v>
      </c>
      <c r="J21" s="131">
        <v>44</v>
      </c>
      <c r="K21" s="80">
        <v>0</v>
      </c>
      <c r="L21" s="131">
        <v>0</v>
      </c>
      <c r="M21" s="131">
        <f t="shared" si="0"/>
        <v>31889</v>
      </c>
      <c r="N21" s="131">
        <f t="shared" si="1"/>
        <v>302552</v>
      </c>
      <c r="O21" s="132">
        <f>N21*100/'Pri Sec_outstanding_6'!R21</f>
        <v>23.274125927920306</v>
      </c>
    </row>
    <row r="22" spans="1:15" ht="13.5">
      <c r="A22" s="79">
        <v>17</v>
      </c>
      <c r="B22" s="135" t="s">
        <v>67</v>
      </c>
      <c r="C22" s="131">
        <v>10864</v>
      </c>
      <c r="D22" s="131">
        <v>26080</v>
      </c>
      <c r="E22" s="80">
        <v>1408</v>
      </c>
      <c r="F22" s="131">
        <v>12903</v>
      </c>
      <c r="G22" s="80">
        <v>15</v>
      </c>
      <c r="H22" s="131">
        <v>1077</v>
      </c>
      <c r="I22" s="80">
        <v>7</v>
      </c>
      <c r="J22" s="131">
        <v>72</v>
      </c>
      <c r="K22" s="80">
        <v>235</v>
      </c>
      <c r="L22" s="131">
        <v>1589</v>
      </c>
      <c r="M22" s="131">
        <f t="shared" si="0"/>
        <v>12529</v>
      </c>
      <c r="N22" s="131">
        <f t="shared" si="1"/>
        <v>41721</v>
      </c>
      <c r="O22" s="132">
        <f>N22*100/'Pri Sec_outstanding_6'!R22</f>
        <v>29.88567499032965</v>
      </c>
    </row>
    <row r="23" spans="1:15" ht="13.5">
      <c r="A23" s="79">
        <v>18</v>
      </c>
      <c r="B23" s="130" t="s">
        <v>253</v>
      </c>
      <c r="C23" s="131">
        <v>4201</v>
      </c>
      <c r="D23" s="131">
        <v>65953</v>
      </c>
      <c r="E23" s="80">
        <v>3129</v>
      </c>
      <c r="F23" s="131">
        <v>79101</v>
      </c>
      <c r="G23" s="80">
        <v>1042</v>
      </c>
      <c r="H23" s="131">
        <v>45967</v>
      </c>
      <c r="I23" s="80">
        <v>120</v>
      </c>
      <c r="J23" s="131">
        <v>112</v>
      </c>
      <c r="K23" s="80">
        <v>2145</v>
      </c>
      <c r="L23" s="131">
        <v>10001</v>
      </c>
      <c r="M23" s="131">
        <f t="shared" si="0"/>
        <v>10637</v>
      </c>
      <c r="N23" s="131">
        <f t="shared" si="1"/>
        <v>201134</v>
      </c>
      <c r="O23" s="132">
        <f>N23*100/'Pri Sec_outstanding_6'!R23</f>
        <v>45.53355352966878</v>
      </c>
    </row>
    <row r="24" spans="1:15" ht="13.5">
      <c r="A24" s="79">
        <v>19</v>
      </c>
      <c r="B24" s="136" t="s">
        <v>68</v>
      </c>
      <c r="C24" s="131">
        <v>40835</v>
      </c>
      <c r="D24" s="131">
        <v>77931.57</v>
      </c>
      <c r="E24" s="80">
        <v>3657</v>
      </c>
      <c r="F24" s="131">
        <v>76484.98</v>
      </c>
      <c r="G24" s="80">
        <v>408</v>
      </c>
      <c r="H24" s="131">
        <v>18880.72</v>
      </c>
      <c r="I24" s="80">
        <v>85</v>
      </c>
      <c r="J24" s="131">
        <v>311.92</v>
      </c>
      <c r="K24" s="80">
        <v>0</v>
      </c>
      <c r="L24" s="131">
        <v>0</v>
      </c>
      <c r="M24" s="131">
        <f t="shared" si="0"/>
        <v>44985</v>
      </c>
      <c r="N24" s="131">
        <f t="shared" si="1"/>
        <v>173609.19</v>
      </c>
      <c r="O24" s="132">
        <f>N24*100/'Pri Sec_outstanding_6'!R24</f>
        <v>22.488838885247887</v>
      </c>
    </row>
    <row r="25" spans="1:15" ht="13.5">
      <c r="A25" s="79">
        <v>20</v>
      </c>
      <c r="B25" s="130" t="s">
        <v>69</v>
      </c>
      <c r="C25" s="131">
        <v>759</v>
      </c>
      <c r="D25" s="131">
        <v>5118</v>
      </c>
      <c r="E25" s="80">
        <v>1</v>
      </c>
      <c r="F25" s="131">
        <v>22</v>
      </c>
      <c r="G25" s="80">
        <v>191</v>
      </c>
      <c r="H25" s="131">
        <v>2183</v>
      </c>
      <c r="I25" s="80">
        <v>5</v>
      </c>
      <c r="J25" s="131">
        <v>1444</v>
      </c>
      <c r="K25" s="80">
        <v>0</v>
      </c>
      <c r="L25" s="131">
        <v>0</v>
      </c>
      <c r="M25" s="131">
        <f t="shared" si="0"/>
        <v>956</v>
      </c>
      <c r="N25" s="131">
        <f t="shared" si="1"/>
        <v>8767</v>
      </c>
      <c r="O25" s="132">
        <f>N25*100/'Pri Sec_outstanding_6'!R25</f>
        <v>26.68147787449023</v>
      </c>
    </row>
    <row r="26" spans="1:15" ht="13.5">
      <c r="A26" s="79">
        <v>21</v>
      </c>
      <c r="B26" s="130" t="s">
        <v>52</v>
      </c>
      <c r="C26" s="131">
        <v>4987</v>
      </c>
      <c r="D26" s="131">
        <v>15143.21</v>
      </c>
      <c r="E26" s="80">
        <v>2468</v>
      </c>
      <c r="F26" s="131">
        <v>13086.79</v>
      </c>
      <c r="G26" s="80">
        <v>12</v>
      </c>
      <c r="H26" s="131">
        <v>1388.63</v>
      </c>
      <c r="I26" s="80">
        <v>0</v>
      </c>
      <c r="J26" s="131">
        <v>0</v>
      </c>
      <c r="K26" s="80">
        <v>0</v>
      </c>
      <c r="L26" s="131">
        <v>0</v>
      </c>
      <c r="M26" s="131">
        <f t="shared" si="0"/>
        <v>7467</v>
      </c>
      <c r="N26" s="131">
        <f t="shared" si="1"/>
        <v>29618.63</v>
      </c>
      <c r="O26" s="132">
        <f>N26*100/'Pri Sec_outstanding_6'!R26</f>
        <v>41.12898880773183</v>
      </c>
    </row>
    <row r="27" spans="1:15" ht="13.5">
      <c r="A27" s="81"/>
      <c r="B27" s="137" t="s">
        <v>293</v>
      </c>
      <c r="C27" s="138">
        <f>SUM(C6:C26)</f>
        <v>303622</v>
      </c>
      <c r="D27" s="138">
        <f aca="true" t="shared" si="2" ref="D27:N27">SUM(D6:D26)</f>
        <v>971601.76</v>
      </c>
      <c r="E27" s="138">
        <f t="shared" si="2"/>
        <v>40102</v>
      </c>
      <c r="F27" s="138">
        <f t="shared" si="2"/>
        <v>994409.2999999999</v>
      </c>
      <c r="G27" s="138">
        <f t="shared" si="2"/>
        <v>2694</v>
      </c>
      <c r="H27" s="138">
        <f t="shared" si="2"/>
        <v>237470.49000000002</v>
      </c>
      <c r="I27" s="138">
        <f t="shared" si="2"/>
        <v>1891</v>
      </c>
      <c r="J27" s="138">
        <f t="shared" si="2"/>
        <v>16092.750000000002</v>
      </c>
      <c r="K27" s="138">
        <f t="shared" si="2"/>
        <v>4517</v>
      </c>
      <c r="L27" s="138">
        <f t="shared" si="2"/>
        <v>24911.79</v>
      </c>
      <c r="M27" s="138">
        <f t="shared" si="2"/>
        <v>352826</v>
      </c>
      <c r="N27" s="138">
        <f t="shared" si="2"/>
        <v>2244486.09</v>
      </c>
      <c r="O27" s="129">
        <f>N27*100/'Pri Sec_outstanding_6'!R27</f>
        <v>24.238161907659375</v>
      </c>
    </row>
    <row r="28" spans="1:15" ht="13.5">
      <c r="A28" s="79">
        <v>22</v>
      </c>
      <c r="B28" s="130" t="s">
        <v>294</v>
      </c>
      <c r="C28" s="131">
        <v>76</v>
      </c>
      <c r="D28" s="131">
        <v>1810.31</v>
      </c>
      <c r="E28" s="80">
        <v>12</v>
      </c>
      <c r="F28" s="131">
        <v>396.61</v>
      </c>
      <c r="G28" s="80">
        <v>2</v>
      </c>
      <c r="H28" s="131">
        <v>1669.91</v>
      </c>
      <c r="I28" s="80">
        <v>0</v>
      </c>
      <c r="J28" s="131">
        <v>0</v>
      </c>
      <c r="K28" s="80">
        <v>0</v>
      </c>
      <c r="L28" s="131">
        <v>0</v>
      </c>
      <c r="M28" s="131">
        <f t="shared" si="0"/>
        <v>90</v>
      </c>
      <c r="N28" s="131">
        <f t="shared" si="1"/>
        <v>3876.83</v>
      </c>
      <c r="O28" s="132">
        <f>N28*100/'Pri Sec_outstanding_6'!R28</f>
        <v>11.137435720646959</v>
      </c>
    </row>
    <row r="29" spans="1:15" ht="13.5">
      <c r="A29" s="79">
        <v>23</v>
      </c>
      <c r="B29" s="130" t="s">
        <v>295</v>
      </c>
      <c r="C29" s="131">
        <v>75</v>
      </c>
      <c r="D29" s="131">
        <v>953.73</v>
      </c>
      <c r="E29" s="80">
        <v>3</v>
      </c>
      <c r="F29" s="131">
        <v>34.19</v>
      </c>
      <c r="G29" s="80">
        <v>0</v>
      </c>
      <c r="H29" s="131">
        <v>0</v>
      </c>
      <c r="I29" s="80">
        <v>0</v>
      </c>
      <c r="J29" s="131">
        <v>0</v>
      </c>
      <c r="K29" s="80">
        <v>0</v>
      </c>
      <c r="L29" s="131">
        <v>0</v>
      </c>
      <c r="M29" s="131">
        <f t="shared" si="0"/>
        <v>78</v>
      </c>
      <c r="N29" s="131">
        <f t="shared" si="1"/>
        <v>987.9200000000001</v>
      </c>
      <c r="O29" s="132">
        <f>N29*100/'Pri Sec_outstanding_6'!R29</f>
        <v>1.6155682747342601</v>
      </c>
    </row>
    <row r="30" spans="1:15" ht="13.5">
      <c r="A30" s="79">
        <v>24</v>
      </c>
      <c r="B30" s="130" t="s">
        <v>296</v>
      </c>
      <c r="C30" s="131">
        <v>144</v>
      </c>
      <c r="D30" s="131">
        <v>1134.9</v>
      </c>
      <c r="E30" s="80">
        <v>16</v>
      </c>
      <c r="F30" s="131">
        <v>321.57</v>
      </c>
      <c r="G30" s="80">
        <v>0</v>
      </c>
      <c r="H30" s="131">
        <v>0</v>
      </c>
      <c r="I30" s="80">
        <v>0</v>
      </c>
      <c r="J30" s="131">
        <v>0</v>
      </c>
      <c r="K30" s="80">
        <v>0</v>
      </c>
      <c r="L30" s="131">
        <v>0</v>
      </c>
      <c r="M30" s="131">
        <f t="shared" si="0"/>
        <v>160</v>
      </c>
      <c r="N30" s="131">
        <f t="shared" si="1"/>
        <v>1456.47</v>
      </c>
      <c r="O30" s="132">
        <f>N30*100/'Pri Sec_outstanding_6'!R30</f>
        <v>1.501020281968835</v>
      </c>
    </row>
    <row r="31" spans="1:15" ht="13.5">
      <c r="A31" s="79">
        <v>25</v>
      </c>
      <c r="B31" s="133" t="s">
        <v>297</v>
      </c>
      <c r="C31" s="131">
        <v>15</v>
      </c>
      <c r="D31" s="131">
        <v>256</v>
      </c>
      <c r="E31" s="80">
        <v>18</v>
      </c>
      <c r="F31" s="131">
        <v>302</v>
      </c>
      <c r="G31" s="80">
        <v>10</v>
      </c>
      <c r="H31" s="131">
        <v>102</v>
      </c>
      <c r="I31" s="80">
        <v>0</v>
      </c>
      <c r="J31" s="131">
        <v>0</v>
      </c>
      <c r="K31" s="80">
        <v>5</v>
      </c>
      <c r="L31" s="131">
        <v>216</v>
      </c>
      <c r="M31" s="131">
        <f t="shared" si="0"/>
        <v>48</v>
      </c>
      <c r="N31" s="131">
        <f t="shared" si="1"/>
        <v>876</v>
      </c>
      <c r="O31" s="132">
        <f>N31*100/'Pri Sec_outstanding_6'!R31</f>
        <v>11.064797271693823</v>
      </c>
    </row>
    <row r="32" spans="1:15" ht="13.5">
      <c r="A32" s="79">
        <v>26</v>
      </c>
      <c r="B32" s="130" t="s">
        <v>298</v>
      </c>
      <c r="C32" s="131">
        <v>1483</v>
      </c>
      <c r="D32" s="131">
        <v>6534.65</v>
      </c>
      <c r="E32" s="80">
        <v>30</v>
      </c>
      <c r="F32" s="131">
        <v>380.58</v>
      </c>
      <c r="G32" s="80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f t="shared" si="0"/>
        <v>1513</v>
      </c>
      <c r="N32" s="131">
        <f t="shared" si="1"/>
        <v>6915.23</v>
      </c>
      <c r="O32" s="132">
        <f>N32*100/'Pri Sec_outstanding_6'!R32</f>
        <v>8.457445117103894</v>
      </c>
    </row>
    <row r="33" spans="1:15" ht="13.5">
      <c r="A33" s="79">
        <v>27</v>
      </c>
      <c r="B33" s="130" t="s">
        <v>72</v>
      </c>
      <c r="C33" s="131">
        <v>98769</v>
      </c>
      <c r="D33" s="131">
        <v>116637</v>
      </c>
      <c r="E33" s="80">
        <v>10405</v>
      </c>
      <c r="F33" s="131">
        <v>280186</v>
      </c>
      <c r="G33" s="80">
        <v>331</v>
      </c>
      <c r="H33" s="131">
        <v>86869</v>
      </c>
      <c r="I33" s="80">
        <v>1191</v>
      </c>
      <c r="J33" s="131">
        <v>4065</v>
      </c>
      <c r="K33" s="80">
        <v>465629</v>
      </c>
      <c r="L33" s="131">
        <v>765043</v>
      </c>
      <c r="M33" s="131">
        <f t="shared" si="0"/>
        <v>576325</v>
      </c>
      <c r="N33" s="131">
        <f t="shared" si="1"/>
        <v>1252800</v>
      </c>
      <c r="O33" s="132">
        <f>N33*100/'Pri Sec_outstanding_6'!R33</f>
        <v>22.211277329285377</v>
      </c>
    </row>
    <row r="34" spans="1:15" ht="13.5">
      <c r="A34" s="81"/>
      <c r="B34" s="137" t="s">
        <v>299</v>
      </c>
      <c r="C34" s="138">
        <f>SUM(C28:C33)</f>
        <v>100562</v>
      </c>
      <c r="D34" s="138">
        <f aca="true" t="shared" si="3" ref="D34:N34">SUM(D28:D33)</f>
        <v>127326.59</v>
      </c>
      <c r="E34" s="138">
        <f t="shared" si="3"/>
        <v>10484</v>
      </c>
      <c r="F34" s="138">
        <f t="shared" si="3"/>
        <v>281620.95</v>
      </c>
      <c r="G34" s="138">
        <f t="shared" si="3"/>
        <v>343</v>
      </c>
      <c r="H34" s="138">
        <f t="shared" si="3"/>
        <v>88640.91</v>
      </c>
      <c r="I34" s="138">
        <f t="shared" si="3"/>
        <v>1191</v>
      </c>
      <c r="J34" s="138">
        <f t="shared" si="3"/>
        <v>4065</v>
      </c>
      <c r="K34" s="138">
        <f t="shared" si="3"/>
        <v>465634</v>
      </c>
      <c r="L34" s="138">
        <f t="shared" si="3"/>
        <v>765259</v>
      </c>
      <c r="M34" s="138">
        <f t="shared" si="3"/>
        <v>578214</v>
      </c>
      <c r="N34" s="138">
        <f t="shared" si="3"/>
        <v>1266912.45</v>
      </c>
      <c r="O34" s="129">
        <f>N34*100/'Pri Sec_outstanding_6'!R34</f>
        <v>21.3895245879193</v>
      </c>
    </row>
    <row r="35" spans="1:15" ht="13.5">
      <c r="A35" s="79">
        <v>28</v>
      </c>
      <c r="B35" s="130" t="s">
        <v>49</v>
      </c>
      <c r="C35" s="131">
        <v>2489</v>
      </c>
      <c r="D35" s="131">
        <v>44064.04</v>
      </c>
      <c r="E35" s="80">
        <v>1159</v>
      </c>
      <c r="F35" s="131">
        <v>67386.51</v>
      </c>
      <c r="G35" s="80">
        <v>161</v>
      </c>
      <c r="H35" s="131">
        <v>17781.02</v>
      </c>
      <c r="I35" s="80">
        <v>1</v>
      </c>
      <c r="J35" s="131">
        <v>69.22</v>
      </c>
      <c r="K35" s="80">
        <v>0</v>
      </c>
      <c r="L35" s="131">
        <v>0</v>
      </c>
      <c r="M35" s="131">
        <f t="shared" si="0"/>
        <v>3810</v>
      </c>
      <c r="N35" s="131">
        <f t="shared" si="1"/>
        <v>129300.79</v>
      </c>
      <c r="O35" s="132">
        <f>N35*100/'Pri Sec_outstanding_6'!R35</f>
        <v>22.6061398110397</v>
      </c>
    </row>
    <row r="36" spans="1:15" ht="13.5">
      <c r="A36" s="79">
        <v>29</v>
      </c>
      <c r="B36" s="80" t="s">
        <v>53</v>
      </c>
      <c r="C36" s="131">
        <v>71</v>
      </c>
      <c r="D36" s="131">
        <v>1802.1792153999997</v>
      </c>
      <c r="E36" s="80">
        <v>21</v>
      </c>
      <c r="F36" s="131">
        <v>1790.9272131999999</v>
      </c>
      <c r="G36" s="80">
        <v>3</v>
      </c>
      <c r="H36" s="131">
        <v>911.5823392</v>
      </c>
      <c r="I36" s="80">
        <v>0</v>
      </c>
      <c r="J36" s="131">
        <v>0</v>
      </c>
      <c r="K36" s="80">
        <v>0</v>
      </c>
      <c r="L36" s="131">
        <v>0</v>
      </c>
      <c r="M36" s="131">
        <f t="shared" si="0"/>
        <v>95</v>
      </c>
      <c r="N36" s="131">
        <f t="shared" si="1"/>
        <v>4504.688767799999</v>
      </c>
      <c r="O36" s="132">
        <f>N36*100/'Pri Sec_outstanding_6'!R36</f>
        <v>51.78993754656242</v>
      </c>
    </row>
    <row r="37" spans="1:15" ht="13.5">
      <c r="A37" s="79">
        <v>30</v>
      </c>
      <c r="B37" s="80" t="s">
        <v>300</v>
      </c>
      <c r="C37" s="131"/>
      <c r="D37" s="131">
        <v>8704</v>
      </c>
      <c r="E37" s="80"/>
      <c r="F37" s="131"/>
      <c r="G37" s="80"/>
      <c r="H37" s="131"/>
      <c r="I37" s="80"/>
      <c r="J37" s="131"/>
      <c r="K37" s="80"/>
      <c r="L37" s="131"/>
      <c r="M37" s="131">
        <f t="shared" si="0"/>
        <v>0</v>
      </c>
      <c r="N37" s="131">
        <f t="shared" si="1"/>
        <v>8704</v>
      </c>
      <c r="O37" s="132">
        <f>N37*100/'Pri Sec_outstanding_6'!R37</f>
        <v>22.396047756278303</v>
      </c>
    </row>
    <row r="38" spans="1:15" ht="13.5">
      <c r="A38" s="79">
        <v>31</v>
      </c>
      <c r="B38" s="130" t="s">
        <v>301</v>
      </c>
      <c r="C38" s="131">
        <v>0</v>
      </c>
      <c r="D38" s="131">
        <v>0</v>
      </c>
      <c r="E38" s="80">
        <v>0</v>
      </c>
      <c r="F38" s="131">
        <v>0</v>
      </c>
      <c r="G38" s="80">
        <v>0</v>
      </c>
      <c r="H38" s="131">
        <v>0</v>
      </c>
      <c r="I38" s="80">
        <v>0</v>
      </c>
      <c r="J38" s="131">
        <v>0</v>
      </c>
      <c r="K38" s="80">
        <v>0</v>
      </c>
      <c r="L38" s="131">
        <v>0</v>
      </c>
      <c r="M38" s="131">
        <f t="shared" si="0"/>
        <v>0</v>
      </c>
      <c r="N38" s="131">
        <f t="shared" si="1"/>
        <v>0</v>
      </c>
      <c r="O38" s="132">
        <f>N38*100/'Pri Sec_outstanding_6'!R38</f>
        <v>0</v>
      </c>
    </row>
    <row r="39" spans="1:15" ht="13.5">
      <c r="A39" s="79">
        <v>32</v>
      </c>
      <c r="B39" s="130" t="s">
        <v>302</v>
      </c>
      <c r="C39" s="131">
        <v>65</v>
      </c>
      <c r="D39" s="131">
        <v>1348.18</v>
      </c>
      <c r="E39" s="80">
        <v>20</v>
      </c>
      <c r="F39" s="131">
        <v>650.76</v>
      </c>
      <c r="G39" s="80">
        <v>6</v>
      </c>
      <c r="H39" s="131">
        <v>782.81</v>
      </c>
      <c r="I39" s="80">
        <v>0</v>
      </c>
      <c r="J39" s="131">
        <v>0</v>
      </c>
      <c r="K39" s="80">
        <v>0</v>
      </c>
      <c r="L39" s="131">
        <v>0</v>
      </c>
      <c r="M39" s="131">
        <f t="shared" si="0"/>
        <v>91</v>
      </c>
      <c r="N39" s="131">
        <f t="shared" si="1"/>
        <v>2781.75</v>
      </c>
      <c r="O39" s="132">
        <f>N39*100/'Pri Sec_outstanding_6'!R39</f>
        <v>18.230224785372567</v>
      </c>
    </row>
    <row r="40" spans="1:15" ht="13.5">
      <c r="A40" s="79">
        <v>33</v>
      </c>
      <c r="B40" s="130" t="s">
        <v>303</v>
      </c>
      <c r="C40" s="131">
        <v>130732</v>
      </c>
      <c r="D40" s="131">
        <v>134967.96</v>
      </c>
      <c r="E40" s="80">
        <v>10023</v>
      </c>
      <c r="F40" s="131">
        <v>108515.84</v>
      </c>
      <c r="G40" s="80">
        <v>919</v>
      </c>
      <c r="H40" s="131">
        <v>15126.92</v>
      </c>
      <c r="I40" s="80">
        <v>0</v>
      </c>
      <c r="J40" s="131">
        <v>0</v>
      </c>
      <c r="K40" s="80">
        <v>0</v>
      </c>
      <c r="L40" s="131">
        <v>0</v>
      </c>
      <c r="M40" s="131">
        <f t="shared" si="0"/>
        <v>141674</v>
      </c>
      <c r="N40" s="131">
        <f t="shared" si="1"/>
        <v>258610.72</v>
      </c>
      <c r="O40" s="132">
        <f>N40*100/'Pri Sec_outstanding_6'!R40</f>
        <v>23.064953782816698</v>
      </c>
    </row>
    <row r="41" spans="1:15" ht="13.5">
      <c r="A41" s="79">
        <v>34</v>
      </c>
      <c r="B41" s="130" t="s">
        <v>304</v>
      </c>
      <c r="C41" s="131">
        <v>6063</v>
      </c>
      <c r="D41" s="131">
        <v>85292.49</v>
      </c>
      <c r="E41" s="80">
        <v>11640</v>
      </c>
      <c r="F41" s="131">
        <v>100045.25</v>
      </c>
      <c r="G41" s="80">
        <v>180</v>
      </c>
      <c r="H41" s="131">
        <v>8712.56</v>
      </c>
      <c r="I41" s="80">
        <v>0</v>
      </c>
      <c r="J41" s="131">
        <v>0</v>
      </c>
      <c r="K41" s="80">
        <v>0</v>
      </c>
      <c r="L41" s="131">
        <v>0</v>
      </c>
      <c r="M41" s="131">
        <f t="shared" si="0"/>
        <v>17883</v>
      </c>
      <c r="N41" s="131">
        <f t="shared" si="1"/>
        <v>194050.3</v>
      </c>
      <c r="O41" s="132">
        <f>N41*100/'Pri Sec_outstanding_6'!R41</f>
        <v>18.68019511034611</v>
      </c>
    </row>
    <row r="42" spans="1:15" ht="13.5">
      <c r="A42" s="79">
        <v>35</v>
      </c>
      <c r="B42" s="130" t="s">
        <v>305</v>
      </c>
      <c r="C42" s="131">
        <v>0</v>
      </c>
      <c r="D42" s="131">
        <v>0</v>
      </c>
      <c r="E42" s="80">
        <v>717</v>
      </c>
      <c r="F42" s="131">
        <v>83815</v>
      </c>
      <c r="G42" s="80">
        <v>0</v>
      </c>
      <c r="H42" s="131">
        <v>0</v>
      </c>
      <c r="I42" s="80">
        <v>0</v>
      </c>
      <c r="J42" s="131">
        <v>0</v>
      </c>
      <c r="K42" s="80">
        <v>0</v>
      </c>
      <c r="L42" s="131">
        <v>0</v>
      </c>
      <c r="M42" s="131">
        <f t="shared" si="0"/>
        <v>717</v>
      </c>
      <c r="N42" s="131">
        <f t="shared" si="1"/>
        <v>83815</v>
      </c>
      <c r="O42" s="132">
        <f>N42*100/'Pri Sec_outstanding_6'!R42</f>
        <v>35.068890925142576</v>
      </c>
    </row>
    <row r="43" spans="1:15" ht="13.5">
      <c r="A43" s="79">
        <v>36</v>
      </c>
      <c r="B43" s="130" t="s">
        <v>255</v>
      </c>
      <c r="C43" s="131">
        <v>89518</v>
      </c>
      <c r="D43" s="131">
        <v>18167</v>
      </c>
      <c r="E43" s="80">
        <v>0</v>
      </c>
      <c r="F43" s="131">
        <v>0</v>
      </c>
      <c r="G43" s="80">
        <v>0</v>
      </c>
      <c r="H43" s="131">
        <v>0</v>
      </c>
      <c r="I43" s="80">
        <v>0</v>
      </c>
      <c r="J43" s="131">
        <v>0</v>
      </c>
      <c r="K43" s="80">
        <v>7156</v>
      </c>
      <c r="L43" s="131">
        <v>12581</v>
      </c>
      <c r="M43" s="131">
        <f t="shared" si="0"/>
        <v>96674</v>
      </c>
      <c r="N43" s="131">
        <f t="shared" si="1"/>
        <v>30748</v>
      </c>
      <c r="O43" s="132">
        <f>N43*100/'Pri Sec_outstanding_6'!R43</f>
        <v>74.14874119803221</v>
      </c>
    </row>
    <row r="44" spans="1:15" ht="13.5">
      <c r="A44" s="79">
        <v>37</v>
      </c>
      <c r="B44" s="130" t="s">
        <v>306</v>
      </c>
      <c r="C44" s="131">
        <v>120</v>
      </c>
      <c r="D44" s="131">
        <v>528</v>
      </c>
      <c r="E44" s="80">
        <v>115</v>
      </c>
      <c r="F44" s="131">
        <v>253</v>
      </c>
      <c r="G44" s="80">
        <v>0</v>
      </c>
      <c r="H44" s="131">
        <v>0</v>
      </c>
      <c r="I44" s="80">
        <v>0</v>
      </c>
      <c r="J44" s="131">
        <v>0</v>
      </c>
      <c r="K44" s="80"/>
      <c r="L44" s="131">
        <v>0</v>
      </c>
      <c r="M44" s="131">
        <f t="shared" si="0"/>
        <v>235</v>
      </c>
      <c r="N44" s="131">
        <f t="shared" si="1"/>
        <v>781</v>
      </c>
      <c r="O44" s="132">
        <f>N44*100/'Pri Sec_outstanding_6'!R44</f>
        <v>50.846354166666664</v>
      </c>
    </row>
    <row r="45" spans="1:15" ht="13.5">
      <c r="A45" s="79">
        <v>38</v>
      </c>
      <c r="B45" s="130" t="s">
        <v>307</v>
      </c>
      <c r="C45" s="131">
        <v>70</v>
      </c>
      <c r="D45" s="131">
        <v>31.2</v>
      </c>
      <c r="E45" s="80">
        <v>87</v>
      </c>
      <c r="F45" s="131">
        <v>49.2</v>
      </c>
      <c r="G45" s="80">
        <v>32</v>
      </c>
      <c r="H45" s="131">
        <v>1822</v>
      </c>
      <c r="I45" s="80">
        <v>0</v>
      </c>
      <c r="J45" s="131"/>
      <c r="K45" s="80">
        <v>175</v>
      </c>
      <c r="L45" s="131">
        <v>4291.6</v>
      </c>
      <c r="M45" s="131">
        <f t="shared" si="0"/>
        <v>364</v>
      </c>
      <c r="N45" s="131">
        <f t="shared" si="1"/>
        <v>6194</v>
      </c>
      <c r="O45" s="132">
        <f>N45*100/'Pri Sec_outstanding_6'!R45</f>
        <v>18.902011047026154</v>
      </c>
    </row>
    <row r="46" spans="1:15" ht="13.5">
      <c r="A46" s="79">
        <v>39</v>
      </c>
      <c r="B46" s="130" t="s">
        <v>95</v>
      </c>
      <c r="C46" s="131">
        <v>12</v>
      </c>
      <c r="D46" s="131">
        <v>106.11</v>
      </c>
      <c r="E46" s="80">
        <v>0</v>
      </c>
      <c r="F46" s="131">
        <v>0</v>
      </c>
      <c r="G46" s="80">
        <v>0</v>
      </c>
      <c r="H46" s="131">
        <v>0</v>
      </c>
      <c r="I46" s="80">
        <v>0</v>
      </c>
      <c r="J46" s="131">
        <v>0</v>
      </c>
      <c r="K46" s="80">
        <v>0</v>
      </c>
      <c r="L46" s="131">
        <v>0</v>
      </c>
      <c r="M46" s="131">
        <f t="shared" si="0"/>
        <v>12</v>
      </c>
      <c r="N46" s="131">
        <f t="shared" si="1"/>
        <v>106.11</v>
      </c>
      <c r="O46" s="132">
        <f>N46*100/'Pri Sec_outstanding_6'!R46</f>
        <v>0.7554463904314396</v>
      </c>
    </row>
    <row r="47" spans="1:15" ht="13.5">
      <c r="A47" s="79">
        <v>40</v>
      </c>
      <c r="B47" s="130" t="s">
        <v>308</v>
      </c>
      <c r="C47" s="131">
        <v>641</v>
      </c>
      <c r="D47" s="131">
        <v>23191.956</v>
      </c>
      <c r="E47" s="80">
        <v>1484</v>
      </c>
      <c r="F47" s="131">
        <v>27395.06</v>
      </c>
      <c r="G47" s="80">
        <v>221</v>
      </c>
      <c r="H47" s="131">
        <v>2355.26</v>
      </c>
      <c r="I47" s="80">
        <v>0</v>
      </c>
      <c r="J47" s="131">
        <v>0</v>
      </c>
      <c r="K47" s="80">
        <v>1</v>
      </c>
      <c r="L47" s="131">
        <v>2.11</v>
      </c>
      <c r="M47" s="131">
        <f t="shared" si="0"/>
        <v>2347</v>
      </c>
      <c r="N47" s="131">
        <f t="shared" si="1"/>
        <v>52944.386000000006</v>
      </c>
      <c r="O47" s="132">
        <f>N47*100/'Pri Sec_outstanding_6'!R47</f>
        <v>26.797786101128718</v>
      </c>
    </row>
    <row r="48" spans="1:15" ht="13.5">
      <c r="A48" s="79">
        <v>41</v>
      </c>
      <c r="B48" s="130" t="s">
        <v>309</v>
      </c>
      <c r="C48" s="131">
        <v>2</v>
      </c>
      <c r="D48" s="131">
        <v>121</v>
      </c>
      <c r="E48" s="80">
        <v>0</v>
      </c>
      <c r="F48" s="131">
        <v>0</v>
      </c>
      <c r="G48" s="80">
        <v>0</v>
      </c>
      <c r="H48" s="131">
        <v>0</v>
      </c>
      <c r="I48" s="80">
        <v>0</v>
      </c>
      <c r="J48" s="131">
        <v>0</v>
      </c>
      <c r="K48" s="80">
        <v>0</v>
      </c>
      <c r="L48" s="131">
        <v>0</v>
      </c>
      <c r="M48" s="131">
        <f t="shared" si="0"/>
        <v>2</v>
      </c>
      <c r="N48" s="131">
        <f t="shared" si="1"/>
        <v>121</v>
      </c>
      <c r="O48" s="132">
        <f>N48*100/'Pri Sec_outstanding_6'!R48</f>
        <v>3.234429296979417</v>
      </c>
    </row>
    <row r="49" spans="1:15" ht="13.5">
      <c r="A49" s="79">
        <v>42</v>
      </c>
      <c r="B49" s="139" t="s">
        <v>267</v>
      </c>
      <c r="C49" s="131">
        <v>13</v>
      </c>
      <c r="D49" s="131">
        <v>194.54</v>
      </c>
      <c r="E49" s="80">
        <v>61</v>
      </c>
      <c r="F49" s="131">
        <f>2101.34-800</f>
        <v>1301.3400000000001</v>
      </c>
      <c r="G49" s="80">
        <v>3</v>
      </c>
      <c r="H49" s="131">
        <v>96.98</v>
      </c>
      <c r="I49" s="80">
        <v>0</v>
      </c>
      <c r="J49" s="131">
        <v>0</v>
      </c>
      <c r="K49" s="80">
        <v>0</v>
      </c>
      <c r="L49" s="131">
        <v>0</v>
      </c>
      <c r="M49" s="131">
        <f t="shared" si="0"/>
        <v>77</v>
      </c>
      <c r="N49" s="131">
        <f t="shared" si="1"/>
        <v>1592.8600000000001</v>
      </c>
      <c r="O49" s="132">
        <f>N49*100/'Pri Sec_outstanding_6'!R49</f>
        <v>33.35134003350084</v>
      </c>
    </row>
    <row r="50" spans="1:15" ht="13.5">
      <c r="A50" s="79">
        <v>43</v>
      </c>
      <c r="B50" s="130" t="s">
        <v>311</v>
      </c>
      <c r="C50" s="131">
        <v>5749</v>
      </c>
      <c r="D50" s="131">
        <v>7087.24499248001</v>
      </c>
      <c r="E50" s="80">
        <v>268</v>
      </c>
      <c r="F50" s="131">
        <v>6282.1324537</v>
      </c>
      <c r="G50" s="80">
        <v>5</v>
      </c>
      <c r="H50" s="131">
        <v>334.54992</v>
      </c>
      <c r="I50" s="80">
        <v>0</v>
      </c>
      <c r="J50" s="131">
        <v>0</v>
      </c>
      <c r="K50" s="80">
        <v>0</v>
      </c>
      <c r="L50" s="131">
        <v>0</v>
      </c>
      <c r="M50" s="131">
        <f t="shared" si="0"/>
        <v>6022</v>
      </c>
      <c r="N50" s="131">
        <f t="shared" si="1"/>
        <v>13703.927366180009</v>
      </c>
      <c r="O50" s="132">
        <f>N50*100/'Pri Sec_outstanding_6'!R50</f>
        <v>17.485505515299984</v>
      </c>
    </row>
    <row r="51" spans="1:15" ht="13.5">
      <c r="A51" s="79">
        <v>44</v>
      </c>
      <c r="B51" s="130" t="s">
        <v>78</v>
      </c>
      <c r="C51" s="131">
        <v>6032</v>
      </c>
      <c r="D51" s="131">
        <v>26560.81</v>
      </c>
      <c r="E51" s="80">
        <v>447</v>
      </c>
      <c r="F51" s="131">
        <v>11908.1</v>
      </c>
      <c r="G51" s="80">
        <v>10</v>
      </c>
      <c r="H51" s="131">
        <v>985.42</v>
      </c>
      <c r="I51" s="80">
        <v>0</v>
      </c>
      <c r="J51" s="131">
        <v>0</v>
      </c>
      <c r="K51" s="80">
        <v>1</v>
      </c>
      <c r="L51" s="131">
        <v>1.46</v>
      </c>
      <c r="M51" s="131">
        <f t="shared" si="0"/>
        <v>6490</v>
      </c>
      <c r="N51" s="131">
        <f t="shared" si="1"/>
        <v>39455.79</v>
      </c>
      <c r="O51" s="132">
        <f>N51*100/'Pri Sec_outstanding_6'!R51</f>
        <v>49.880897597977246</v>
      </c>
    </row>
    <row r="52" spans="1:15" ht="13.5">
      <c r="A52" s="82"/>
      <c r="B52" s="137" t="s">
        <v>274</v>
      </c>
      <c r="C52" s="138">
        <f>SUM(C35:C51)</f>
        <v>241577</v>
      </c>
      <c r="D52" s="138">
        <f aca="true" t="shared" si="4" ref="D52:N52">SUM(D35:D51)</f>
        <v>352166.71020788</v>
      </c>
      <c r="E52" s="138">
        <f t="shared" si="4"/>
        <v>26042</v>
      </c>
      <c r="F52" s="138">
        <f t="shared" si="4"/>
        <v>409393.1196669</v>
      </c>
      <c r="G52" s="138">
        <f t="shared" si="4"/>
        <v>1540</v>
      </c>
      <c r="H52" s="138">
        <f t="shared" si="4"/>
        <v>48909.1022592</v>
      </c>
      <c r="I52" s="138">
        <f t="shared" si="4"/>
        <v>1</v>
      </c>
      <c r="J52" s="138">
        <f t="shared" si="4"/>
        <v>69.22</v>
      </c>
      <c r="K52" s="138">
        <f t="shared" si="4"/>
        <v>7333</v>
      </c>
      <c r="L52" s="138">
        <f t="shared" si="4"/>
        <v>16876.17</v>
      </c>
      <c r="M52" s="138">
        <f t="shared" si="4"/>
        <v>276493</v>
      </c>
      <c r="N52" s="138">
        <f t="shared" si="4"/>
        <v>827414.32213398</v>
      </c>
      <c r="O52" s="129">
        <f>N52*100/'Pri Sec_outstanding_6'!R52</f>
        <v>23.72696933432098</v>
      </c>
    </row>
    <row r="53" spans="1:15" ht="13.5">
      <c r="A53" s="79">
        <v>45</v>
      </c>
      <c r="B53" s="130" t="s">
        <v>48</v>
      </c>
      <c r="C53" s="131">
        <v>88827</v>
      </c>
      <c r="D53" s="131">
        <v>19416</v>
      </c>
      <c r="E53" s="80">
        <v>18204</v>
      </c>
      <c r="F53" s="131">
        <v>3979</v>
      </c>
      <c r="G53" s="80">
        <v>0</v>
      </c>
      <c r="H53" s="131">
        <v>0</v>
      </c>
      <c r="I53" s="80">
        <v>6110</v>
      </c>
      <c r="J53" s="131">
        <v>1336</v>
      </c>
      <c r="K53" s="80">
        <v>0</v>
      </c>
      <c r="L53" s="131">
        <v>0</v>
      </c>
      <c r="M53" s="131">
        <f t="shared" si="0"/>
        <v>113141</v>
      </c>
      <c r="N53" s="131">
        <f t="shared" si="1"/>
        <v>24731</v>
      </c>
      <c r="O53" s="132">
        <f>N53*100/'Pri Sec_outstanding_6'!R53</f>
        <v>6.485713911070899</v>
      </c>
    </row>
    <row r="54" spans="1:15" ht="13.5">
      <c r="A54" s="79">
        <v>46</v>
      </c>
      <c r="B54" s="130" t="s">
        <v>269</v>
      </c>
      <c r="C54" s="131">
        <v>37498</v>
      </c>
      <c r="D54" s="131">
        <v>20666</v>
      </c>
      <c r="E54" s="80">
        <v>0</v>
      </c>
      <c r="F54" s="131">
        <v>0</v>
      </c>
      <c r="G54" s="80">
        <v>0</v>
      </c>
      <c r="H54" s="131">
        <v>0</v>
      </c>
      <c r="I54" s="80">
        <v>69</v>
      </c>
      <c r="J54" s="131">
        <v>146</v>
      </c>
      <c r="K54" s="80">
        <v>0</v>
      </c>
      <c r="L54" s="131">
        <v>0</v>
      </c>
      <c r="M54" s="131">
        <f t="shared" si="0"/>
        <v>37567</v>
      </c>
      <c r="N54" s="131">
        <f t="shared" si="1"/>
        <v>20812</v>
      </c>
      <c r="O54" s="132">
        <f>N54*100/'Pri Sec_outstanding_6'!R54</f>
        <v>8.076809636908365</v>
      </c>
    </row>
    <row r="55" spans="1:15" ht="13.5">
      <c r="A55" s="79">
        <v>47</v>
      </c>
      <c r="B55" s="130" t="s">
        <v>54</v>
      </c>
      <c r="C55" s="131">
        <v>55479</v>
      </c>
      <c r="D55" s="131">
        <v>34699.84</v>
      </c>
      <c r="E55" s="80">
        <v>1016</v>
      </c>
      <c r="F55" s="131">
        <v>2907.61</v>
      </c>
      <c r="G55" s="80">
        <v>0</v>
      </c>
      <c r="H55" s="131">
        <v>0</v>
      </c>
      <c r="I55" s="80">
        <v>0</v>
      </c>
      <c r="J55" s="131">
        <v>0</v>
      </c>
      <c r="K55" s="80">
        <v>0</v>
      </c>
      <c r="L55" s="131">
        <v>0</v>
      </c>
      <c r="M55" s="131">
        <f t="shared" si="0"/>
        <v>56495</v>
      </c>
      <c r="N55" s="131">
        <f t="shared" si="1"/>
        <v>37607.45</v>
      </c>
      <c r="O55" s="132">
        <f>N55*100/'Pri Sec_outstanding_6'!R55</f>
        <v>8.7145613749226</v>
      </c>
    </row>
    <row r="56" spans="1:15" ht="13.5">
      <c r="A56" s="82"/>
      <c r="B56" s="137" t="s">
        <v>270</v>
      </c>
      <c r="C56" s="138">
        <f>SUM(C53:C55)</f>
        <v>181804</v>
      </c>
      <c r="D56" s="138">
        <f aca="true" t="shared" si="5" ref="D56:N56">SUM(D53:D55)</f>
        <v>74781.84</v>
      </c>
      <c r="E56" s="138">
        <f t="shared" si="5"/>
        <v>19220</v>
      </c>
      <c r="F56" s="138">
        <f t="shared" si="5"/>
        <v>6886.610000000001</v>
      </c>
      <c r="G56" s="138">
        <f t="shared" si="5"/>
        <v>0</v>
      </c>
      <c r="H56" s="138">
        <f t="shared" si="5"/>
        <v>0</v>
      </c>
      <c r="I56" s="138">
        <f t="shared" si="5"/>
        <v>6179</v>
      </c>
      <c r="J56" s="138">
        <f t="shared" si="5"/>
        <v>1482</v>
      </c>
      <c r="K56" s="138">
        <f t="shared" si="5"/>
        <v>0</v>
      </c>
      <c r="L56" s="138">
        <f t="shared" si="5"/>
        <v>0</v>
      </c>
      <c r="M56" s="138">
        <f t="shared" si="5"/>
        <v>207203</v>
      </c>
      <c r="N56" s="138">
        <f t="shared" si="5"/>
        <v>83150.45</v>
      </c>
      <c r="O56" s="129">
        <f>N56*100/'Pri Sec_outstanding_6'!R56</f>
        <v>7.7671629170708005</v>
      </c>
    </row>
    <row r="57" spans="1:15" ht="13.5">
      <c r="A57" s="79">
        <v>48</v>
      </c>
      <c r="B57" s="130" t="s">
        <v>312</v>
      </c>
      <c r="C57" s="131">
        <v>0</v>
      </c>
      <c r="D57" s="131">
        <v>0</v>
      </c>
      <c r="E57" s="80">
        <v>0</v>
      </c>
      <c r="F57" s="131">
        <v>0</v>
      </c>
      <c r="G57" s="80">
        <v>0</v>
      </c>
      <c r="H57" s="131">
        <v>0</v>
      </c>
      <c r="I57" s="80">
        <v>0</v>
      </c>
      <c r="J57" s="131">
        <v>0</v>
      </c>
      <c r="K57" s="80">
        <v>0</v>
      </c>
      <c r="L57" s="131">
        <v>11902</v>
      </c>
      <c r="M57" s="131">
        <f t="shared" si="0"/>
        <v>0</v>
      </c>
      <c r="N57" s="131">
        <f t="shared" si="1"/>
        <v>11902</v>
      </c>
      <c r="O57" s="132">
        <f>N57*100/'Pri Sec_outstanding_6'!R57</f>
        <v>1.042847704981521</v>
      </c>
    </row>
    <row r="58" spans="1:15" ht="13.5">
      <c r="A58" s="82"/>
      <c r="B58" s="137" t="s">
        <v>275</v>
      </c>
      <c r="C58" s="138">
        <f>C57</f>
        <v>0</v>
      </c>
      <c r="D58" s="138">
        <f aca="true" t="shared" si="6" ref="D58:N58">D57</f>
        <v>0</v>
      </c>
      <c r="E58" s="138">
        <f t="shared" si="6"/>
        <v>0</v>
      </c>
      <c r="F58" s="138">
        <f t="shared" si="6"/>
        <v>0</v>
      </c>
      <c r="G58" s="138">
        <f t="shared" si="6"/>
        <v>0</v>
      </c>
      <c r="H58" s="138">
        <f t="shared" si="6"/>
        <v>0</v>
      </c>
      <c r="I58" s="138">
        <f t="shared" si="6"/>
        <v>0</v>
      </c>
      <c r="J58" s="138">
        <f t="shared" si="6"/>
        <v>0</v>
      </c>
      <c r="K58" s="138">
        <f t="shared" si="6"/>
        <v>0</v>
      </c>
      <c r="L58" s="138">
        <f t="shared" si="6"/>
        <v>11902</v>
      </c>
      <c r="M58" s="138">
        <f t="shared" si="6"/>
        <v>0</v>
      </c>
      <c r="N58" s="138">
        <f t="shared" si="6"/>
        <v>11902</v>
      </c>
      <c r="O58" s="129">
        <f>N58*100/'Pri Sec_outstanding_6'!R58</f>
        <v>1.042847704981521</v>
      </c>
    </row>
    <row r="59" spans="1:15" ht="13.5">
      <c r="A59" s="82"/>
      <c r="B59" s="137" t="s">
        <v>276</v>
      </c>
      <c r="C59" s="138">
        <f>C58+C56+C52+C34+C27</f>
        <v>827565</v>
      </c>
      <c r="D59" s="138">
        <f aca="true" t="shared" si="7" ref="D59:N59">D58+D56+D52+D34+D27</f>
        <v>1525876.90020788</v>
      </c>
      <c r="E59" s="138">
        <f t="shared" si="7"/>
        <v>95848</v>
      </c>
      <c r="F59" s="138">
        <f t="shared" si="7"/>
        <v>1692309.9796669</v>
      </c>
      <c r="G59" s="138">
        <f t="shared" si="7"/>
        <v>4577</v>
      </c>
      <c r="H59" s="138">
        <f t="shared" si="7"/>
        <v>375020.50225920003</v>
      </c>
      <c r="I59" s="138">
        <f t="shared" si="7"/>
        <v>9262</v>
      </c>
      <c r="J59" s="138">
        <f t="shared" si="7"/>
        <v>21708.97</v>
      </c>
      <c r="K59" s="138">
        <f t="shared" si="7"/>
        <v>477484</v>
      </c>
      <c r="L59" s="138">
        <f t="shared" si="7"/>
        <v>818948.9600000001</v>
      </c>
      <c r="M59" s="138">
        <f t="shared" si="7"/>
        <v>1414736</v>
      </c>
      <c r="N59" s="138">
        <f t="shared" si="7"/>
        <v>4433865.31213398</v>
      </c>
      <c r="O59" s="129">
        <f>N59*100/'Pri Sec_outstanding_6'!R59</f>
        <v>21.221341754744298</v>
      </c>
    </row>
    <row r="61" ht="13.5">
      <c r="N61" s="85">
        <v>3008228</v>
      </c>
    </row>
    <row r="62" ht="13.5">
      <c r="N62" s="145">
        <f>N59-N61</f>
        <v>1425637.31213398</v>
      </c>
    </row>
    <row r="67" spans="4:12" ht="13.5">
      <c r="D67" s="141"/>
      <c r="E67" s="141"/>
      <c r="F67" s="141"/>
      <c r="G67" s="141"/>
      <c r="H67" s="141"/>
      <c r="I67" s="141"/>
      <c r="J67" s="141"/>
      <c r="K67" s="141"/>
      <c r="L67" s="141"/>
    </row>
  </sheetData>
  <sheetProtection/>
  <mergeCells count="11">
    <mergeCell ref="K4:L4"/>
    <mergeCell ref="M4:N4"/>
    <mergeCell ref="O3:O5"/>
    <mergeCell ref="A1:N1"/>
    <mergeCell ref="A3:A5"/>
    <mergeCell ref="B3:B5"/>
    <mergeCell ref="C3:N3"/>
    <mergeCell ref="C4:D4"/>
    <mergeCell ref="E4:F4"/>
    <mergeCell ref="G4:H4"/>
    <mergeCell ref="I4:J4"/>
  </mergeCells>
  <conditionalFormatting sqref="B6">
    <cfRule type="duplicateValues" priority="3" dxfId="197">
      <formula>AND(COUNTIF($B$6:$B$6,B6)&gt;1,NOT(ISBLANK(B6)))</formula>
    </cfRule>
  </conditionalFormatting>
  <conditionalFormatting sqref="B22">
    <cfRule type="duplicateValues" priority="4" dxfId="197">
      <formula>AND(COUNTIF($B$22:$B$22,B22)&gt;1,NOT(ISBLANK(B22)))</formula>
    </cfRule>
  </conditionalFormatting>
  <conditionalFormatting sqref="B33:B34 B26:B30">
    <cfRule type="duplicateValues" priority="5" dxfId="197">
      <formula>AND(COUNTIF($B$33:$B$34,B26)+COUNTIF($B$26:$B$30,B26)&gt;1,NOT(ISBLANK(B26)))</formula>
    </cfRule>
  </conditionalFormatting>
  <conditionalFormatting sqref="B52">
    <cfRule type="duplicateValues" priority="6" dxfId="197">
      <formula>AND(COUNTIF($B$52:$B$52,B52)&gt;1,NOT(ISBLANK(B52)))</formula>
    </cfRule>
  </conditionalFormatting>
  <conditionalFormatting sqref="B56">
    <cfRule type="duplicateValues" priority="7" dxfId="197">
      <formula>AND(COUNTIF($B$56:$B$56,B56)&gt;1,NOT(ISBLANK(B56)))</formula>
    </cfRule>
  </conditionalFormatting>
  <conditionalFormatting sqref="B58">
    <cfRule type="duplicateValues" priority="8" dxfId="197">
      <formula>AND(COUNTIF($B$58:$B$58,B58)&gt;1,NOT(ISBLANK(B58)))</formula>
    </cfRule>
  </conditionalFormatting>
  <conditionalFormatting sqref="O3:O5">
    <cfRule type="cellIs" priority="2" dxfId="198" operator="lessThan" stopIfTrue="1">
      <formula>18</formula>
    </cfRule>
  </conditionalFormatting>
  <conditionalFormatting sqref="O1:O65536">
    <cfRule type="cellIs" priority="1" dxfId="198" operator="lessThan" stopIfTrue="1">
      <formula>7.5</formula>
    </cfRule>
  </conditionalFormatting>
  <printOptions/>
  <pageMargins left="0.45" right="0.45" top="0.5" bottom="0.5" header="0.3" footer="0.3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V63"/>
  <sheetViews>
    <sheetView view="pageBreakPreview" zoomScale="60" zoomScalePageLayoutView="0" workbookViewId="0" topLeftCell="A1">
      <pane xSplit="2" ySplit="5" topLeftCell="C6" activePane="bottomRight" state="frozen"/>
      <selection pane="topLeft" activeCell="I36" sqref="I36"/>
      <selection pane="topRight" activeCell="I36" sqref="I36"/>
      <selection pane="bottomLeft" activeCell="I36" sqref="I36"/>
      <selection pane="bottomRight" activeCell="Z17" sqref="Z17"/>
    </sheetView>
  </sheetViews>
  <sheetFormatPr defaultColWidth="4.421875" defaultRowHeight="12.75"/>
  <cols>
    <col min="1" max="1" width="4.421875" style="85" customWidth="1"/>
    <col min="2" max="2" width="24.421875" style="85" bestFit="1" customWidth="1"/>
    <col min="3" max="3" width="5.140625" style="145" bestFit="1" customWidth="1"/>
    <col min="4" max="5" width="9.00390625" style="145" bestFit="1" customWidth="1"/>
    <col min="6" max="6" width="9.7109375" style="145" bestFit="1" customWidth="1"/>
    <col min="7" max="7" width="10.421875" style="145" bestFit="1" customWidth="1"/>
    <col min="8" max="8" width="11.140625" style="145" bestFit="1" customWidth="1"/>
    <col min="9" max="9" width="6.8515625" style="145" bestFit="1" customWidth="1"/>
    <col min="10" max="10" width="8.28125" style="145" bestFit="1" customWidth="1"/>
    <col min="11" max="11" width="7.421875" style="145" customWidth="1"/>
    <col min="12" max="12" width="7.57421875" style="145" bestFit="1" customWidth="1"/>
    <col min="13" max="13" width="11.28125" style="145" bestFit="1" customWidth="1"/>
    <col min="14" max="14" width="11.57421875" style="145" bestFit="1" customWidth="1"/>
    <col min="15" max="15" width="12.7109375" style="145" bestFit="1" customWidth="1"/>
    <col min="16" max="16" width="12.57421875" style="145" bestFit="1" customWidth="1"/>
    <col min="17" max="17" width="9.8515625" style="141" customWidth="1"/>
    <col min="18" max="18" width="9.7109375" style="145" hidden="1" customWidth="1"/>
    <col min="19" max="19" width="4.421875" style="85" customWidth="1"/>
    <col min="20" max="20" width="8.00390625" style="85" bestFit="1" customWidth="1"/>
    <col min="21" max="21" width="4.421875" style="85" customWidth="1"/>
    <col min="22" max="22" width="8.00390625" style="85" bestFit="1" customWidth="1"/>
    <col min="23" max="16384" width="4.421875" style="85" customWidth="1"/>
  </cols>
  <sheetData>
    <row r="1" spans="1:16" ht="18.75">
      <c r="A1" s="564" t="s">
        <v>148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2:14" ht="13.5">
      <c r="B2" s="140" t="s">
        <v>141</v>
      </c>
      <c r="K2" s="145" t="s">
        <v>160</v>
      </c>
      <c r="N2" s="146" t="s">
        <v>159</v>
      </c>
    </row>
    <row r="3" spans="1:18" ht="34.5" customHeight="1">
      <c r="A3" s="565" t="s">
        <v>124</v>
      </c>
      <c r="B3" s="565" t="s">
        <v>102</v>
      </c>
      <c r="C3" s="571" t="s">
        <v>131</v>
      </c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2"/>
      <c r="Q3" s="567" t="s">
        <v>171</v>
      </c>
      <c r="R3" s="573" t="s">
        <v>317</v>
      </c>
    </row>
    <row r="4" spans="1:20" ht="24.75" customHeight="1">
      <c r="A4" s="565"/>
      <c r="B4" s="565"/>
      <c r="C4" s="571" t="s">
        <v>142</v>
      </c>
      <c r="D4" s="572"/>
      <c r="E4" s="571" t="s">
        <v>143</v>
      </c>
      <c r="F4" s="572"/>
      <c r="G4" s="571" t="s">
        <v>144</v>
      </c>
      <c r="H4" s="572"/>
      <c r="I4" s="571" t="s">
        <v>145</v>
      </c>
      <c r="J4" s="572"/>
      <c r="K4" s="571" t="s">
        <v>146</v>
      </c>
      <c r="L4" s="572"/>
      <c r="M4" s="571" t="s">
        <v>137</v>
      </c>
      <c r="N4" s="572"/>
      <c r="O4" s="571" t="s">
        <v>147</v>
      </c>
      <c r="P4" s="572"/>
      <c r="Q4" s="567"/>
      <c r="R4" s="573"/>
      <c r="T4" s="167"/>
    </row>
    <row r="5" spans="1:18" ht="15" customHeight="1">
      <c r="A5" s="565"/>
      <c r="B5" s="565"/>
      <c r="C5" s="155" t="s">
        <v>315</v>
      </c>
      <c r="D5" s="155" t="s">
        <v>314</v>
      </c>
      <c r="E5" s="155" t="s">
        <v>315</v>
      </c>
      <c r="F5" s="155" t="s">
        <v>314</v>
      </c>
      <c r="G5" s="155" t="s">
        <v>315</v>
      </c>
      <c r="H5" s="155" t="s">
        <v>314</v>
      </c>
      <c r="I5" s="155" t="s">
        <v>315</v>
      </c>
      <c r="J5" s="155" t="s">
        <v>314</v>
      </c>
      <c r="K5" s="155" t="s">
        <v>315</v>
      </c>
      <c r="L5" s="155" t="s">
        <v>314</v>
      </c>
      <c r="M5" s="155" t="s">
        <v>315</v>
      </c>
      <c r="N5" s="155" t="s">
        <v>314</v>
      </c>
      <c r="O5" s="155" t="s">
        <v>315</v>
      </c>
      <c r="P5" s="155" t="s">
        <v>314</v>
      </c>
      <c r="Q5" s="567"/>
      <c r="R5" s="573"/>
    </row>
    <row r="6" spans="1:22" ht="15" customHeight="1">
      <c r="A6" s="79">
        <v>1</v>
      </c>
      <c r="B6" s="130" t="s">
        <v>57</v>
      </c>
      <c r="C6" s="131">
        <v>0</v>
      </c>
      <c r="D6" s="131">
        <v>0</v>
      </c>
      <c r="E6" s="131">
        <v>3460</v>
      </c>
      <c r="F6" s="131">
        <v>8467.68</v>
      </c>
      <c r="G6" s="131">
        <v>16542</v>
      </c>
      <c r="H6" s="131">
        <v>46403.6</v>
      </c>
      <c r="I6" s="131">
        <v>87</v>
      </c>
      <c r="J6" s="131">
        <v>19.13</v>
      </c>
      <c r="K6" s="131">
        <v>0</v>
      </c>
      <c r="L6" s="131">
        <v>0</v>
      </c>
      <c r="M6" s="131">
        <v>937</v>
      </c>
      <c r="N6" s="131">
        <v>297.57</v>
      </c>
      <c r="O6" s="131">
        <f>M6+K6+I6+G6+E6+C6+MSMEoutstanding_5!M6+OutstandingAgri_4!K6</f>
        <v>153578</v>
      </c>
      <c r="P6" s="131">
        <f>N6+L6+J6+H6+F6+D6+MSMEoutstanding_5!N6+OutstandingAgri_4!L6</f>
        <v>416130.17999999993</v>
      </c>
      <c r="Q6" s="132">
        <f>P6*100/R6</f>
        <v>65.05876595864432</v>
      </c>
      <c r="R6" s="131">
        <f>'CD Ratio_3(i)'!F6</f>
        <v>639622</v>
      </c>
      <c r="T6" s="145"/>
      <c r="V6" s="145"/>
    </row>
    <row r="7" spans="1:22" ht="15" customHeight="1">
      <c r="A7" s="79">
        <v>2</v>
      </c>
      <c r="B7" s="130" t="s">
        <v>58</v>
      </c>
      <c r="C7" s="131">
        <v>2</v>
      </c>
      <c r="D7" s="131">
        <v>440</v>
      </c>
      <c r="E7" s="131">
        <v>156</v>
      </c>
      <c r="F7" s="131">
        <v>481</v>
      </c>
      <c r="G7" s="131">
        <v>988</v>
      </c>
      <c r="H7" s="131">
        <v>8071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f>M7+K7+I7+G7+E7+C7+MSMEoutstanding_5!M7+OutstandingAgri_4!K7</f>
        <v>6232</v>
      </c>
      <c r="P7" s="131">
        <f>N7+L7+J7+H7+F7+D7+MSMEoutstanding_5!N7+OutstandingAgri_4!L7</f>
        <v>30503</v>
      </c>
      <c r="Q7" s="132">
        <f aca="true" t="shared" si="0" ref="Q7:Q59">P7*100/R7</f>
        <v>64.39715413684632</v>
      </c>
      <c r="R7" s="131">
        <f>'CD Ratio_3(i)'!F7</f>
        <v>47367</v>
      </c>
      <c r="T7" s="145"/>
      <c r="V7" s="145"/>
    </row>
    <row r="8" spans="1:22" ht="15" customHeight="1">
      <c r="A8" s="79">
        <v>3</v>
      </c>
      <c r="B8" s="130" t="s">
        <v>59</v>
      </c>
      <c r="C8" s="131">
        <v>0</v>
      </c>
      <c r="D8" s="131">
        <v>0</v>
      </c>
      <c r="E8" s="131">
        <v>2232</v>
      </c>
      <c r="F8" s="131">
        <v>5107</v>
      </c>
      <c r="G8" s="131">
        <v>12950</v>
      </c>
      <c r="H8" s="131">
        <v>52079</v>
      </c>
      <c r="I8" s="131">
        <v>326</v>
      </c>
      <c r="J8" s="131">
        <v>534</v>
      </c>
      <c r="K8" s="131">
        <v>3</v>
      </c>
      <c r="L8" s="131">
        <v>400</v>
      </c>
      <c r="M8" s="131">
        <v>9411</v>
      </c>
      <c r="N8" s="131">
        <v>49630.94</v>
      </c>
      <c r="O8" s="131">
        <f>M8+K8+I8+G8+E8+C8+MSMEoutstanding_5!M8+OutstandingAgri_4!K8</f>
        <v>87349</v>
      </c>
      <c r="P8" s="131">
        <f>N8+L8+J8+H8+F8+D8+MSMEoutstanding_5!N8+OutstandingAgri_4!L8</f>
        <v>506097.29</v>
      </c>
      <c r="Q8" s="132">
        <f t="shared" si="0"/>
        <v>56.7182886921439</v>
      </c>
      <c r="R8" s="131">
        <f>'CD Ratio_3(i)'!F8</f>
        <v>892300</v>
      </c>
      <c r="T8" s="145"/>
      <c r="V8" s="145"/>
    </row>
    <row r="9" spans="1:22" ht="15" customHeight="1">
      <c r="A9" s="79">
        <v>4</v>
      </c>
      <c r="B9" s="130" t="s">
        <v>60</v>
      </c>
      <c r="C9" s="131">
        <v>0</v>
      </c>
      <c r="D9" s="131">
        <v>0</v>
      </c>
      <c r="E9" s="131">
        <v>10066</v>
      </c>
      <c r="F9" s="131">
        <v>21823.66</v>
      </c>
      <c r="G9" s="131">
        <v>67414</v>
      </c>
      <c r="H9" s="131">
        <v>93263.41</v>
      </c>
      <c r="I9" s="131"/>
      <c r="J9" s="131"/>
      <c r="K9" s="131">
        <v>1</v>
      </c>
      <c r="L9" s="131">
        <v>4.76</v>
      </c>
      <c r="M9" s="131">
        <v>280</v>
      </c>
      <c r="N9" s="131">
        <v>127.17</v>
      </c>
      <c r="O9" s="131">
        <f>M9+K9+I9+G9+E9+C9+MSMEoutstanding_5!M9+OutstandingAgri_4!K9</f>
        <v>563314</v>
      </c>
      <c r="P9" s="131">
        <f>N9+L9+J9+H9+F9+D9+MSMEoutstanding_5!N9+OutstandingAgri_4!L9</f>
        <v>1256390.8966321</v>
      </c>
      <c r="Q9" s="132">
        <f t="shared" si="0"/>
        <v>76.56918894407617</v>
      </c>
      <c r="R9" s="131">
        <f>'CD Ratio_3(i)'!F9</f>
        <v>1640857</v>
      </c>
      <c r="T9" s="145"/>
      <c r="V9" s="145"/>
    </row>
    <row r="10" spans="1:22" ht="15" customHeight="1">
      <c r="A10" s="79">
        <v>5</v>
      </c>
      <c r="B10" s="130" t="s">
        <v>61</v>
      </c>
      <c r="C10" s="131">
        <v>0</v>
      </c>
      <c r="D10" s="131">
        <v>0</v>
      </c>
      <c r="E10" s="131">
        <v>1459</v>
      </c>
      <c r="F10" s="131">
        <v>4601</v>
      </c>
      <c r="G10" s="131">
        <v>17052</v>
      </c>
      <c r="H10" s="131">
        <v>38239</v>
      </c>
      <c r="I10" s="131">
        <v>0</v>
      </c>
      <c r="J10" s="131">
        <v>0</v>
      </c>
      <c r="K10" s="131">
        <v>0</v>
      </c>
      <c r="L10" s="131">
        <v>0</v>
      </c>
      <c r="M10" s="131">
        <v>3983</v>
      </c>
      <c r="N10" s="131">
        <v>22921</v>
      </c>
      <c r="O10" s="131">
        <f>M10+K10+I10+G10+E10+C10+MSMEoutstanding_5!M10+OutstandingAgri_4!K10</f>
        <v>93261</v>
      </c>
      <c r="P10" s="131">
        <f>N10+L10+J10+H10+F10+D10+MSMEoutstanding_5!N10+OutstandingAgri_4!L10</f>
        <v>302415.69</v>
      </c>
      <c r="Q10" s="132">
        <f t="shared" si="0"/>
        <v>82.26849312832566</v>
      </c>
      <c r="R10" s="131">
        <f>'CD Ratio_3(i)'!F10</f>
        <v>367596</v>
      </c>
      <c r="T10" s="145"/>
      <c r="V10" s="145"/>
    </row>
    <row r="11" spans="1:22" ht="15" customHeight="1">
      <c r="A11" s="79">
        <v>6</v>
      </c>
      <c r="B11" s="133" t="s">
        <v>289</v>
      </c>
      <c r="C11" s="131">
        <v>0</v>
      </c>
      <c r="D11" s="131">
        <v>0</v>
      </c>
      <c r="E11" s="131">
        <v>11</v>
      </c>
      <c r="F11" s="131">
        <v>21.64</v>
      </c>
      <c r="G11" s="131">
        <v>15</v>
      </c>
      <c r="H11" s="131">
        <v>122.5</v>
      </c>
      <c r="I11" s="131">
        <v>0</v>
      </c>
      <c r="J11" s="131">
        <v>0</v>
      </c>
      <c r="K11" s="131">
        <v>0</v>
      </c>
      <c r="L11" s="131">
        <v>0</v>
      </c>
      <c r="M11" s="131">
        <v>325</v>
      </c>
      <c r="N11" s="131">
        <f>248.18-21-76</f>
        <v>151.18</v>
      </c>
      <c r="O11" s="131">
        <f>M11+K11+I11+G11+E11+C11+MSMEoutstanding_5!M11+OutstandingAgri_4!K11</f>
        <v>691</v>
      </c>
      <c r="P11" s="131">
        <f>N11+L11+J11+H11+F11+D11+MSMEoutstanding_5!N11+OutstandingAgri_4!L11</f>
        <v>686.69</v>
      </c>
      <c r="Q11" s="132">
        <f t="shared" si="0"/>
        <v>89.99868938401049</v>
      </c>
      <c r="R11" s="131">
        <f>'CD Ratio_3(i)'!F11</f>
        <v>763</v>
      </c>
      <c r="T11" s="145"/>
      <c r="V11" s="145"/>
    </row>
    <row r="12" spans="1:22" ht="15" customHeight="1">
      <c r="A12" s="79">
        <v>7</v>
      </c>
      <c r="B12" s="130" t="s">
        <v>62</v>
      </c>
      <c r="C12" s="131">
        <v>0</v>
      </c>
      <c r="D12" s="131">
        <v>0</v>
      </c>
      <c r="E12" s="131">
        <v>2247</v>
      </c>
      <c r="F12" s="131">
        <v>6088</v>
      </c>
      <c r="G12" s="131">
        <v>7574</v>
      </c>
      <c r="H12" s="131">
        <v>60771</v>
      </c>
      <c r="I12" s="131">
        <v>0</v>
      </c>
      <c r="J12" s="131">
        <v>0</v>
      </c>
      <c r="K12" s="131">
        <v>0</v>
      </c>
      <c r="L12" s="131">
        <v>0</v>
      </c>
      <c r="M12" s="131">
        <v>2579</v>
      </c>
      <c r="N12" s="131">
        <v>191</v>
      </c>
      <c r="O12" s="131">
        <f>M12+K12+I12+G12+E12+C12+MSMEoutstanding_5!M12+OutstandingAgri_4!K12</f>
        <v>73038</v>
      </c>
      <c r="P12" s="131">
        <f>N12+L12+J12+H12+F12+D12+MSMEoutstanding_5!N12+OutstandingAgri_4!L12</f>
        <v>280512.04</v>
      </c>
      <c r="Q12" s="132">
        <f t="shared" si="0"/>
        <v>68.64124072587748</v>
      </c>
      <c r="R12" s="131">
        <f>'CD Ratio_3(i)'!F12</f>
        <v>408664</v>
      </c>
      <c r="T12" s="145"/>
      <c r="V12" s="145"/>
    </row>
    <row r="13" spans="1:22" ht="15" customHeight="1">
      <c r="A13" s="79">
        <v>8</v>
      </c>
      <c r="B13" s="130" t="s">
        <v>63</v>
      </c>
      <c r="C13" s="131">
        <v>0</v>
      </c>
      <c r="D13" s="131">
        <v>0</v>
      </c>
      <c r="E13" s="131">
        <v>8567</v>
      </c>
      <c r="F13" s="131">
        <v>24033</v>
      </c>
      <c r="G13" s="131">
        <v>96484</v>
      </c>
      <c r="H13" s="131">
        <v>132324</v>
      </c>
      <c r="I13" s="131">
        <v>3</v>
      </c>
      <c r="J13" s="131">
        <v>6.23</v>
      </c>
      <c r="K13" s="131">
        <v>0</v>
      </c>
      <c r="L13" s="131">
        <v>0</v>
      </c>
      <c r="M13" s="131">
        <v>103</v>
      </c>
      <c r="N13" s="131">
        <v>1255.99</v>
      </c>
      <c r="O13" s="131">
        <f>M13+K13+I13+G13+E13+C13+MSMEoutstanding_5!M13+OutstandingAgri_4!K13</f>
        <v>432061</v>
      </c>
      <c r="P13" s="131">
        <f>N13+L13+J13+H13+F13+D13+MSMEoutstanding_5!N13+OutstandingAgri_4!L13</f>
        <v>899757.1099999999</v>
      </c>
      <c r="Q13" s="132">
        <f t="shared" si="0"/>
        <v>74.6983952113705</v>
      </c>
      <c r="R13" s="131">
        <f>'CD Ratio_3(i)'!F13</f>
        <v>1204520</v>
      </c>
      <c r="T13" s="145"/>
      <c r="V13" s="145"/>
    </row>
    <row r="14" spans="1:22" ht="15" customHeight="1">
      <c r="A14" s="79">
        <v>9</v>
      </c>
      <c r="B14" s="130" t="s">
        <v>50</v>
      </c>
      <c r="C14" s="131">
        <v>0</v>
      </c>
      <c r="D14" s="131">
        <v>0</v>
      </c>
      <c r="E14" s="131">
        <v>404</v>
      </c>
      <c r="F14" s="131">
        <v>1255</v>
      </c>
      <c r="G14" s="131">
        <v>1485</v>
      </c>
      <c r="H14" s="131">
        <v>9875.35</v>
      </c>
      <c r="I14" s="131">
        <v>0</v>
      </c>
      <c r="J14" s="131">
        <v>0</v>
      </c>
      <c r="K14" s="131">
        <v>0</v>
      </c>
      <c r="L14" s="131">
        <v>0</v>
      </c>
      <c r="M14" s="131"/>
      <c r="N14" s="131">
        <v>82556</v>
      </c>
      <c r="O14" s="131">
        <f>M14+K14+I14+G14+E14+C14+MSMEoutstanding_5!M14+OutstandingAgri_4!K14</f>
        <v>20481</v>
      </c>
      <c r="P14" s="131">
        <f>N14+L14+J14+H14+F14+D14+MSMEoutstanding_5!N14+OutstandingAgri_4!L14</f>
        <v>167314.71000000002</v>
      </c>
      <c r="Q14" s="132">
        <f t="shared" si="0"/>
        <v>60.042384833184414</v>
      </c>
      <c r="R14" s="131">
        <f>'CD Ratio_3(i)'!F14</f>
        <v>278661</v>
      </c>
      <c r="T14" s="145"/>
      <c r="V14" s="145"/>
    </row>
    <row r="15" spans="1:22" ht="15" customHeight="1">
      <c r="A15" s="79">
        <v>10</v>
      </c>
      <c r="B15" s="130" t="s">
        <v>51</v>
      </c>
      <c r="C15" s="131">
        <v>7</v>
      </c>
      <c r="D15" s="131">
        <v>622</v>
      </c>
      <c r="E15" s="131">
        <v>787</v>
      </c>
      <c r="F15" s="131">
        <v>1856</v>
      </c>
      <c r="G15" s="131">
        <v>2463</v>
      </c>
      <c r="H15" s="131">
        <v>13713</v>
      </c>
      <c r="I15" s="131">
        <v>24</v>
      </c>
      <c r="J15" s="131">
        <v>35.89</v>
      </c>
      <c r="K15" s="131">
        <v>5</v>
      </c>
      <c r="L15" s="131">
        <v>276</v>
      </c>
      <c r="M15" s="131">
        <v>21242</v>
      </c>
      <c r="N15" s="131">
        <v>52965</v>
      </c>
      <c r="O15" s="131">
        <f>M15+K15+I15+G15+E15+C15+MSMEoutstanding_5!M15+OutstandingAgri_4!K15</f>
        <v>45091</v>
      </c>
      <c r="P15" s="131">
        <f>N15+L15+J15+H15+F15+D15+MSMEoutstanding_5!N15+OutstandingAgri_4!L15</f>
        <v>123660.89</v>
      </c>
      <c r="Q15" s="132">
        <f t="shared" si="0"/>
        <v>68.7383005097248</v>
      </c>
      <c r="R15" s="131">
        <f>'CD Ratio_3(i)'!F15</f>
        <v>179901</v>
      </c>
      <c r="T15" s="145"/>
      <c r="V15" s="145"/>
    </row>
    <row r="16" spans="1:22" ht="15" customHeight="1">
      <c r="A16" s="79">
        <v>11</v>
      </c>
      <c r="B16" s="130" t="s">
        <v>290</v>
      </c>
      <c r="C16" s="131">
        <v>0</v>
      </c>
      <c r="D16" s="131">
        <v>0</v>
      </c>
      <c r="E16" s="131">
        <v>526</v>
      </c>
      <c r="F16" s="131">
        <v>1539</v>
      </c>
      <c r="G16" s="131">
        <v>5043</v>
      </c>
      <c r="H16" s="131">
        <v>36998</v>
      </c>
      <c r="I16" s="131">
        <v>8</v>
      </c>
      <c r="J16" s="131">
        <v>50</v>
      </c>
      <c r="K16" s="131">
        <v>0</v>
      </c>
      <c r="L16" s="131">
        <v>0</v>
      </c>
      <c r="M16" s="131">
        <v>22</v>
      </c>
      <c r="N16" s="131">
        <v>67</v>
      </c>
      <c r="O16" s="131">
        <f>M16+K16+I16+G16+E16+C16+MSMEoutstanding_5!M16+OutstandingAgri_4!K16</f>
        <v>54728</v>
      </c>
      <c r="P16" s="131">
        <f>N16+L16+J16+H16+F16+D16+MSMEoutstanding_5!N16+OutstandingAgri_4!L16</f>
        <v>196833</v>
      </c>
      <c r="Q16" s="132">
        <f t="shared" si="0"/>
        <v>49.14350343422541</v>
      </c>
      <c r="R16" s="131">
        <f>'CD Ratio_3(i)'!F16</f>
        <v>400527</v>
      </c>
      <c r="T16" s="145"/>
      <c r="V16" s="145"/>
    </row>
    <row r="17" spans="1:22" ht="15" customHeight="1">
      <c r="A17" s="79">
        <v>12</v>
      </c>
      <c r="B17" s="130" t="s">
        <v>64</v>
      </c>
      <c r="C17" s="131">
        <v>0</v>
      </c>
      <c r="D17" s="131">
        <v>0</v>
      </c>
      <c r="E17" s="131">
        <v>105</v>
      </c>
      <c r="F17" s="131">
        <v>248.54</v>
      </c>
      <c r="G17" s="131">
        <v>455</v>
      </c>
      <c r="H17" s="131">
        <v>2724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f>M17+K17+I17+G17+E17+C17+MSMEoutstanding_5!M17+OutstandingAgri_4!K17</f>
        <v>5098</v>
      </c>
      <c r="P17" s="131">
        <f>N17+L17+J17+H17+F17+D17+MSMEoutstanding_5!N17+OutstandingAgri_4!L17</f>
        <v>12848.630000000001</v>
      </c>
      <c r="Q17" s="132">
        <f t="shared" si="0"/>
        <v>18.438181236081096</v>
      </c>
      <c r="R17" s="131">
        <f>'CD Ratio_3(i)'!F17</f>
        <v>69684.91</v>
      </c>
      <c r="T17" s="145"/>
      <c r="V17" s="145"/>
    </row>
    <row r="18" spans="1:22" ht="15" customHeight="1">
      <c r="A18" s="79">
        <v>13</v>
      </c>
      <c r="B18" s="130" t="s">
        <v>65</v>
      </c>
      <c r="C18" s="131">
        <v>0</v>
      </c>
      <c r="D18" s="131">
        <v>0</v>
      </c>
      <c r="E18" s="131">
        <v>320</v>
      </c>
      <c r="F18" s="131">
        <v>884.65</v>
      </c>
      <c r="G18" s="131">
        <v>2918</v>
      </c>
      <c r="H18" s="131">
        <v>7885.07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f>M18+K18+I18+G18+E18+C18+MSMEoutstanding_5!M18+OutstandingAgri_4!K18</f>
        <v>7537</v>
      </c>
      <c r="P18" s="131">
        <f>N18+L18+J18+H18+F18+D18+MSMEoutstanding_5!N18+OutstandingAgri_4!L18</f>
        <v>50672.8</v>
      </c>
      <c r="Q18" s="132">
        <f t="shared" si="0"/>
        <v>53.35439172826247</v>
      </c>
      <c r="R18" s="131">
        <f>'CD Ratio_3(i)'!F18</f>
        <v>94974</v>
      </c>
      <c r="T18" s="145"/>
      <c r="V18" s="145"/>
    </row>
    <row r="19" spans="1:22" ht="15" customHeight="1">
      <c r="A19" s="79">
        <v>14</v>
      </c>
      <c r="B19" s="134" t="s">
        <v>316</v>
      </c>
      <c r="C19" s="131">
        <v>0</v>
      </c>
      <c r="D19" s="131">
        <v>0</v>
      </c>
      <c r="E19" s="131">
        <v>1781</v>
      </c>
      <c r="F19" s="131">
        <v>3851.49</v>
      </c>
      <c r="G19" s="131">
        <v>6803</v>
      </c>
      <c r="H19" s="131">
        <v>22093.89</v>
      </c>
      <c r="I19" s="131">
        <v>8</v>
      </c>
      <c r="J19" s="131">
        <v>40.13</v>
      </c>
      <c r="K19" s="131">
        <v>6</v>
      </c>
      <c r="L19" s="131">
        <v>13.01</v>
      </c>
      <c r="M19" s="131">
        <v>203</v>
      </c>
      <c r="N19" s="131">
        <v>109.31</v>
      </c>
      <c r="O19" s="131">
        <f>M19+K19+I19+G19+E19+C19+MSMEoutstanding_5!M19+OutstandingAgri_4!K19</f>
        <v>28455</v>
      </c>
      <c r="P19" s="131">
        <f>N19+L19+J19+H19+F19+D19+MSMEoutstanding_5!N19+OutstandingAgri_4!L19</f>
        <v>124924.23</v>
      </c>
      <c r="Q19" s="132">
        <f t="shared" si="0"/>
        <v>58.650148592246914</v>
      </c>
      <c r="R19" s="131">
        <f>'CD Ratio_3(i)'!F19</f>
        <v>212999</v>
      </c>
      <c r="T19" s="145"/>
      <c r="V19" s="145"/>
    </row>
    <row r="20" spans="1:22" ht="15" customHeight="1">
      <c r="A20" s="79">
        <v>15</v>
      </c>
      <c r="B20" s="130" t="s">
        <v>292</v>
      </c>
      <c r="C20" s="131">
        <v>0</v>
      </c>
      <c r="D20" s="131">
        <v>0</v>
      </c>
      <c r="E20" s="131">
        <v>203</v>
      </c>
      <c r="F20" s="131">
        <v>583</v>
      </c>
      <c r="G20" s="131">
        <v>1289</v>
      </c>
      <c r="H20" s="131">
        <v>9292</v>
      </c>
      <c r="I20" s="131">
        <v>0</v>
      </c>
      <c r="J20" s="131">
        <v>0</v>
      </c>
      <c r="K20" s="131">
        <v>50</v>
      </c>
      <c r="L20" s="131">
        <v>456</v>
      </c>
      <c r="M20" s="131">
        <v>11548</v>
      </c>
      <c r="N20" s="131">
        <f>43746.59-31296-5039</f>
        <v>7411.5899999999965</v>
      </c>
      <c r="O20" s="131">
        <f>M20+K20+I20+G20+E20+C20+MSMEoutstanding_5!M20+OutstandingAgri_4!K20</f>
        <v>24148</v>
      </c>
      <c r="P20" s="131">
        <f>N20+L20+J20+H20+F20+D20+MSMEoutstanding_5!N20+OutstandingAgri_4!L20</f>
        <v>58527.689999999995</v>
      </c>
      <c r="Q20" s="132">
        <f t="shared" si="0"/>
        <v>92.07244324885552</v>
      </c>
      <c r="R20" s="131">
        <f>'CD Ratio_3(i)'!F20</f>
        <v>63567</v>
      </c>
      <c r="T20" s="145"/>
      <c r="V20" s="145"/>
    </row>
    <row r="21" spans="1:22" ht="15" customHeight="1">
      <c r="A21" s="79">
        <v>16</v>
      </c>
      <c r="B21" s="130" t="s">
        <v>66</v>
      </c>
      <c r="C21" s="131">
        <v>0</v>
      </c>
      <c r="D21" s="131">
        <v>0</v>
      </c>
      <c r="E21" s="131">
        <v>7478</v>
      </c>
      <c r="F21" s="131">
        <v>16629</v>
      </c>
      <c r="G21" s="131">
        <v>39750</v>
      </c>
      <c r="H21" s="131">
        <v>95552</v>
      </c>
      <c r="I21" s="131">
        <v>4</v>
      </c>
      <c r="J21" s="131">
        <v>111</v>
      </c>
      <c r="K21" s="131">
        <v>0</v>
      </c>
      <c r="L21" s="131">
        <v>0</v>
      </c>
      <c r="M21" s="131">
        <v>2026</v>
      </c>
      <c r="N21" s="131">
        <v>375</v>
      </c>
      <c r="O21" s="131">
        <f>M21+K21+I21+G21+E21+C21+MSMEoutstanding_5!M21+OutstandingAgri_4!K21</f>
        <v>277813</v>
      </c>
      <c r="P21" s="131">
        <f>N21+L21+J21+H21+F21+D21+MSMEoutstanding_5!N21+OutstandingAgri_4!L21</f>
        <v>732202</v>
      </c>
      <c r="Q21" s="132">
        <f t="shared" si="0"/>
        <v>56.32539713065887</v>
      </c>
      <c r="R21" s="131">
        <f>'CD Ratio_3(i)'!F21</f>
        <v>1299950</v>
      </c>
      <c r="T21" s="145"/>
      <c r="V21" s="145"/>
    </row>
    <row r="22" spans="1:22" ht="15" customHeight="1">
      <c r="A22" s="79">
        <v>17</v>
      </c>
      <c r="B22" s="135" t="s">
        <v>67</v>
      </c>
      <c r="C22" s="131">
        <v>1</v>
      </c>
      <c r="D22" s="131">
        <v>1</v>
      </c>
      <c r="E22" s="131">
        <v>893</v>
      </c>
      <c r="F22" s="131">
        <v>1955</v>
      </c>
      <c r="G22" s="131">
        <v>7187</v>
      </c>
      <c r="H22" s="131">
        <v>14710</v>
      </c>
      <c r="I22" s="131">
        <v>0</v>
      </c>
      <c r="J22" s="131">
        <v>0</v>
      </c>
      <c r="K22" s="131">
        <v>0</v>
      </c>
      <c r="L22" s="131">
        <v>0</v>
      </c>
      <c r="M22" s="131">
        <v>699</v>
      </c>
      <c r="N22" s="131">
        <v>61</v>
      </c>
      <c r="O22" s="131">
        <f>M22+K22+I22+G22+E22+C22+MSMEoutstanding_5!M22+OutstandingAgri_4!K22</f>
        <v>29478</v>
      </c>
      <c r="P22" s="131">
        <f>N22+L22+J22+H22+F22+D22+MSMEoutstanding_5!N22+OutstandingAgri_4!L22</f>
        <v>70493</v>
      </c>
      <c r="Q22" s="132">
        <f t="shared" si="0"/>
        <v>50.495694904084466</v>
      </c>
      <c r="R22" s="131">
        <f>'CD Ratio_3(i)'!F28</f>
        <v>139602</v>
      </c>
      <c r="T22" s="145"/>
      <c r="U22" s="145"/>
      <c r="V22" s="145"/>
    </row>
    <row r="23" spans="1:22" ht="15" customHeight="1">
      <c r="A23" s="79">
        <v>18</v>
      </c>
      <c r="B23" s="130" t="s">
        <v>253</v>
      </c>
      <c r="C23" s="131">
        <v>50</v>
      </c>
      <c r="D23" s="131">
        <v>310</v>
      </c>
      <c r="E23" s="131">
        <v>2079</v>
      </c>
      <c r="F23" s="131">
        <v>4708</v>
      </c>
      <c r="G23" s="131">
        <v>4520</v>
      </c>
      <c r="H23" s="131">
        <v>40176</v>
      </c>
      <c r="I23" s="131">
        <v>0</v>
      </c>
      <c r="J23" s="131">
        <v>0</v>
      </c>
      <c r="K23" s="131">
        <v>0</v>
      </c>
      <c r="L23" s="131">
        <v>0</v>
      </c>
      <c r="M23" s="131">
        <v>31350</v>
      </c>
      <c r="N23" s="131">
        <f>329831-260639-3424</f>
        <v>65768</v>
      </c>
      <c r="O23" s="131">
        <f>M23+K23+I23+G23+E23+C23+MSMEoutstanding_5!M23+OutstandingAgri_4!K23</f>
        <v>150748</v>
      </c>
      <c r="P23" s="131">
        <f>N23+L23+J23+H23+F23+D23+MSMEoutstanding_5!N23+OutstandingAgri_4!L23</f>
        <v>438303</v>
      </c>
      <c r="Q23" s="132">
        <f t="shared" si="0"/>
        <v>99.22486060394769</v>
      </c>
      <c r="R23" s="131">
        <f>'CD Ratio_3(i)'!F29</f>
        <v>441727</v>
      </c>
      <c r="T23" s="145"/>
      <c r="U23" s="145"/>
      <c r="V23" s="145"/>
    </row>
    <row r="24" spans="1:22" ht="15" customHeight="1">
      <c r="A24" s="79">
        <v>19</v>
      </c>
      <c r="B24" s="136" t="s">
        <v>68</v>
      </c>
      <c r="C24" s="131">
        <v>0</v>
      </c>
      <c r="D24" s="131">
        <v>0</v>
      </c>
      <c r="E24" s="131">
        <v>3463</v>
      </c>
      <c r="F24" s="131">
        <v>7918.17</v>
      </c>
      <c r="G24" s="131">
        <v>32319</v>
      </c>
      <c r="H24" s="131">
        <v>72888.36</v>
      </c>
      <c r="I24" s="131">
        <v>401</v>
      </c>
      <c r="J24" s="131">
        <v>5178.39</v>
      </c>
      <c r="K24" s="131">
        <v>3</v>
      </c>
      <c r="L24" s="131">
        <v>996.21</v>
      </c>
      <c r="M24" s="131">
        <v>797</v>
      </c>
      <c r="N24" s="131">
        <v>16.1</v>
      </c>
      <c r="O24" s="131">
        <f>M24+K24+I24+G24+E24+C24+MSMEoutstanding_5!M24+OutstandingAgri_4!K24</f>
        <v>202312</v>
      </c>
      <c r="P24" s="131">
        <f>N24+L24+J24+H24+F24+D24+MSMEoutstanding_5!N24+OutstandingAgri_4!L24</f>
        <v>547588.75</v>
      </c>
      <c r="Q24" s="132">
        <f t="shared" si="0"/>
        <v>70.93308352008488</v>
      </c>
      <c r="R24" s="131">
        <f>'CD Ratio_3(i)'!F30</f>
        <v>771979.34</v>
      </c>
      <c r="T24" s="145"/>
      <c r="U24" s="145"/>
      <c r="V24" s="145"/>
    </row>
    <row r="25" spans="1:22" ht="15" customHeight="1">
      <c r="A25" s="79">
        <v>20</v>
      </c>
      <c r="B25" s="130" t="s">
        <v>69</v>
      </c>
      <c r="C25" s="131">
        <v>0</v>
      </c>
      <c r="D25" s="131">
        <v>0</v>
      </c>
      <c r="E25" s="131">
        <v>101</v>
      </c>
      <c r="F25" s="131">
        <v>299</v>
      </c>
      <c r="G25" s="131">
        <v>61</v>
      </c>
      <c r="H25" s="131">
        <v>4905</v>
      </c>
      <c r="I25" s="131">
        <v>0</v>
      </c>
      <c r="J25" s="131">
        <v>0</v>
      </c>
      <c r="K25" s="131">
        <v>0</v>
      </c>
      <c r="L25" s="131">
        <v>0</v>
      </c>
      <c r="M25" s="131">
        <v>547</v>
      </c>
      <c r="N25" s="131">
        <v>6961</v>
      </c>
      <c r="O25" s="131">
        <f>M25+K25+I25+G25+E25+C25+MSMEoutstanding_5!M25+OutstandingAgri_4!K25</f>
        <v>2105</v>
      </c>
      <c r="P25" s="131">
        <f>N25+L25+J25+H25+F25+D25+MSMEoutstanding_5!N25+OutstandingAgri_4!L25</f>
        <v>22074</v>
      </c>
      <c r="Q25" s="132">
        <f t="shared" si="0"/>
        <v>67.17998660904499</v>
      </c>
      <c r="R25" s="131">
        <f>'CD Ratio_3(i)'!F31</f>
        <v>32858</v>
      </c>
      <c r="T25" s="145"/>
      <c r="U25" s="145"/>
      <c r="V25" s="145"/>
    </row>
    <row r="26" spans="1:22" ht="15" customHeight="1">
      <c r="A26" s="79">
        <v>21</v>
      </c>
      <c r="B26" s="130" t="s">
        <v>52</v>
      </c>
      <c r="C26" s="131">
        <v>0</v>
      </c>
      <c r="D26" s="131">
        <v>0</v>
      </c>
      <c r="E26" s="131">
        <v>422</v>
      </c>
      <c r="F26" s="131">
        <v>921.47</v>
      </c>
      <c r="G26" s="131">
        <v>1688</v>
      </c>
      <c r="H26" s="131">
        <v>12196.11</v>
      </c>
      <c r="I26" s="131">
        <v>0</v>
      </c>
      <c r="J26" s="131">
        <v>0</v>
      </c>
      <c r="K26" s="131">
        <v>0</v>
      </c>
      <c r="L26" s="131">
        <v>0</v>
      </c>
      <c r="M26" s="131">
        <v>350</v>
      </c>
      <c r="N26" s="131">
        <v>480.41</v>
      </c>
      <c r="O26" s="131">
        <f>M26+K26+I26+G26+E26+C26+MSMEoutstanding_5!M26+OutstandingAgri_4!K26</f>
        <v>17403</v>
      </c>
      <c r="P26" s="131">
        <f>N26+L26+J26+H26+F26+D26+MSMEoutstanding_5!N26+OutstandingAgri_4!L26</f>
        <v>57127.55</v>
      </c>
      <c r="Q26" s="132">
        <f t="shared" si="0"/>
        <v>79.32839447885134</v>
      </c>
      <c r="R26" s="131">
        <f>'CD Ratio_3(i)'!F32</f>
        <v>72014</v>
      </c>
      <c r="T26" s="145"/>
      <c r="U26" s="145"/>
      <c r="V26" s="145"/>
    </row>
    <row r="27" spans="1:22" ht="15" customHeight="1">
      <c r="A27" s="142"/>
      <c r="B27" s="137" t="s">
        <v>293</v>
      </c>
      <c r="C27" s="138">
        <f>SUM(C6:C26)</f>
        <v>60</v>
      </c>
      <c r="D27" s="138">
        <f aca="true" t="shared" si="1" ref="D27:P27">SUM(D6:D26)</f>
        <v>1373</v>
      </c>
      <c r="E27" s="138">
        <f t="shared" si="1"/>
        <v>46760</v>
      </c>
      <c r="F27" s="138">
        <f t="shared" si="1"/>
        <v>113271.29999999999</v>
      </c>
      <c r="G27" s="138">
        <f t="shared" si="1"/>
        <v>325000</v>
      </c>
      <c r="H27" s="138">
        <f t="shared" si="1"/>
        <v>774282.2899999999</v>
      </c>
      <c r="I27" s="138">
        <f t="shared" si="1"/>
        <v>861</v>
      </c>
      <c r="J27" s="138">
        <f t="shared" si="1"/>
        <v>5974.77</v>
      </c>
      <c r="K27" s="138">
        <f t="shared" si="1"/>
        <v>68</v>
      </c>
      <c r="L27" s="138">
        <f t="shared" si="1"/>
        <v>2145.98</v>
      </c>
      <c r="M27" s="138">
        <f t="shared" si="1"/>
        <v>86402</v>
      </c>
      <c r="N27" s="138">
        <f t="shared" si="1"/>
        <v>291345.25999999995</v>
      </c>
      <c r="O27" s="138">
        <f t="shared" si="1"/>
        <v>2274921</v>
      </c>
      <c r="P27" s="138">
        <f t="shared" si="1"/>
        <v>6295063.1466321</v>
      </c>
      <c r="Q27" s="129">
        <f t="shared" si="0"/>
        <v>67.98026525840868</v>
      </c>
      <c r="R27" s="138">
        <f>SUM(R6:R26)</f>
        <v>9260133.25</v>
      </c>
      <c r="T27" s="145"/>
      <c r="V27" s="145"/>
    </row>
    <row r="28" spans="1:18" ht="15" customHeight="1">
      <c r="A28" s="79">
        <v>22</v>
      </c>
      <c r="B28" s="130" t="s">
        <v>294</v>
      </c>
      <c r="C28" s="131">
        <v>0</v>
      </c>
      <c r="D28" s="131">
        <v>0</v>
      </c>
      <c r="E28" s="131">
        <v>5</v>
      </c>
      <c r="F28" s="131">
        <v>18.2</v>
      </c>
      <c r="G28" s="131">
        <v>110</v>
      </c>
      <c r="H28" s="131">
        <v>1262.17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f>M28+K28+I28+G28+E28+C28+MSMEoutstanding_5!M28+OutstandingAgri_4!K28</f>
        <v>205</v>
      </c>
      <c r="P28" s="131">
        <f>N28+L28+J28+H28+F28+D28+MSMEoutstanding_5!N28+OutstandingAgri_4!L28</f>
        <v>5157.2</v>
      </c>
      <c r="Q28" s="132">
        <f t="shared" si="0"/>
        <v>14.81570858111408</v>
      </c>
      <c r="R28" s="131">
        <f>'CD Ratio_3(i)'!F23</f>
        <v>34809</v>
      </c>
    </row>
    <row r="29" spans="1:18" ht="15" customHeight="1">
      <c r="A29" s="79">
        <v>23</v>
      </c>
      <c r="B29" s="130" t="s">
        <v>295</v>
      </c>
      <c r="C29" s="131">
        <v>0</v>
      </c>
      <c r="D29" s="131">
        <v>0</v>
      </c>
      <c r="E29" s="131">
        <v>3</v>
      </c>
      <c r="F29" s="131">
        <v>12.34</v>
      </c>
      <c r="G29" s="131">
        <v>83</v>
      </c>
      <c r="H29" s="131">
        <v>779.52</v>
      </c>
      <c r="I29" s="131">
        <v>0</v>
      </c>
      <c r="J29" s="131">
        <v>0</v>
      </c>
      <c r="K29" s="131">
        <v>0</v>
      </c>
      <c r="L29" s="131">
        <v>0</v>
      </c>
      <c r="M29" s="131">
        <v>69</v>
      </c>
      <c r="N29" s="131">
        <v>1067.26</v>
      </c>
      <c r="O29" s="131">
        <f>M29+K29+I29+G29+E29+C29+MSMEoutstanding_5!M29+OutstandingAgri_4!K29</f>
        <v>233</v>
      </c>
      <c r="P29" s="131">
        <f>N29+L29+J29+H29+F29+D29+MSMEoutstanding_5!N29+OutstandingAgri_4!L29</f>
        <v>2847.04</v>
      </c>
      <c r="Q29" s="132">
        <f t="shared" si="0"/>
        <v>4.655829926410466</v>
      </c>
      <c r="R29" s="131">
        <f>'CD Ratio_3(i)'!F24</f>
        <v>61150</v>
      </c>
    </row>
    <row r="30" spans="1:18" ht="15" customHeight="1">
      <c r="A30" s="79">
        <v>24</v>
      </c>
      <c r="B30" s="130" t="s">
        <v>296</v>
      </c>
      <c r="C30" s="131">
        <v>0</v>
      </c>
      <c r="D30" s="131">
        <v>0</v>
      </c>
      <c r="E30" s="131">
        <v>25</v>
      </c>
      <c r="F30" s="131">
        <v>65.24</v>
      </c>
      <c r="G30" s="131"/>
      <c r="H30" s="131">
        <v>1009.01</v>
      </c>
      <c r="I30" s="131">
        <v>0</v>
      </c>
      <c r="J30" s="131">
        <v>0</v>
      </c>
      <c r="K30" s="131">
        <v>0</v>
      </c>
      <c r="L30" s="131">
        <v>0</v>
      </c>
      <c r="M30" s="131"/>
      <c r="N30" s="131">
        <v>1062.6</v>
      </c>
      <c r="O30" s="131">
        <f>M30+K30+I30+G30+E30+C30+MSMEoutstanding_5!M30+OutstandingAgri_4!K30</f>
        <v>187</v>
      </c>
      <c r="P30" s="131">
        <f>N30+L30+J30+H30+F30+D30+MSMEoutstanding_5!N30+OutstandingAgri_4!L30</f>
        <v>3686.5399999999995</v>
      </c>
      <c r="Q30" s="132">
        <f t="shared" si="0"/>
        <v>3.799303322615219</v>
      </c>
      <c r="R30" s="131">
        <f>'CD Ratio_3(i)'!F25</f>
        <v>97032</v>
      </c>
    </row>
    <row r="31" spans="1:18" ht="15" customHeight="1">
      <c r="A31" s="79">
        <v>25</v>
      </c>
      <c r="B31" s="133" t="s">
        <v>297</v>
      </c>
      <c r="C31" s="131">
        <v>0</v>
      </c>
      <c r="D31" s="131">
        <v>0</v>
      </c>
      <c r="E31" s="131">
        <v>0</v>
      </c>
      <c r="F31" s="131">
        <v>0</v>
      </c>
      <c r="G31" s="131">
        <v>15</v>
      </c>
      <c r="H31" s="131">
        <v>3023</v>
      </c>
      <c r="I31" s="131">
        <v>0</v>
      </c>
      <c r="J31" s="131">
        <v>0</v>
      </c>
      <c r="K31" s="131">
        <v>0</v>
      </c>
      <c r="L31" s="131">
        <v>0</v>
      </c>
      <c r="M31" s="131">
        <v>12</v>
      </c>
      <c r="N31" s="131">
        <v>1959</v>
      </c>
      <c r="O31" s="131">
        <f>M31+K31+I31+G31+E31+C31+MSMEoutstanding_5!M31+OutstandingAgri_4!K31</f>
        <v>75</v>
      </c>
      <c r="P31" s="131">
        <f>N31+L31+J31+H31+F31+D31+MSMEoutstanding_5!N31+OutstandingAgri_4!L31</f>
        <v>5858</v>
      </c>
      <c r="Q31" s="132">
        <f t="shared" si="0"/>
        <v>73.99267399267399</v>
      </c>
      <c r="R31" s="131">
        <f>'CD Ratio_3(i)'!F26</f>
        <v>7917</v>
      </c>
    </row>
    <row r="32" spans="1:18" ht="15" customHeight="1">
      <c r="A32" s="79">
        <v>26</v>
      </c>
      <c r="B32" s="130" t="s">
        <v>298</v>
      </c>
      <c r="C32" s="131"/>
      <c r="D32" s="131"/>
      <c r="E32" s="131">
        <v>182</v>
      </c>
      <c r="F32" s="131">
        <v>427.25</v>
      </c>
      <c r="G32" s="131">
        <v>915</v>
      </c>
      <c r="H32" s="131">
        <v>5984.95</v>
      </c>
      <c r="I32" s="131"/>
      <c r="J32" s="131"/>
      <c r="K32" s="131"/>
      <c r="L32" s="131"/>
      <c r="M32" s="131">
        <v>1866</v>
      </c>
      <c r="N32" s="131">
        <v>9632.91</v>
      </c>
      <c r="O32" s="131">
        <f>M32+K32+I32+G32+E32+C32+MSMEoutstanding_5!M32+OutstandingAgri_4!K32</f>
        <v>4829</v>
      </c>
      <c r="P32" s="131">
        <f>N32+L32+J32+H32+F32+D32+MSMEoutstanding_5!N32+OutstandingAgri_4!L32</f>
        <v>25677.34</v>
      </c>
      <c r="Q32" s="132">
        <f t="shared" si="0"/>
        <v>31.403828043784014</v>
      </c>
      <c r="R32" s="131">
        <f>'CD Ratio_3(i)'!F22</f>
        <v>81765</v>
      </c>
    </row>
    <row r="33" spans="1:18" ht="15" customHeight="1">
      <c r="A33" s="79">
        <v>27</v>
      </c>
      <c r="B33" s="130" t="s">
        <v>72</v>
      </c>
      <c r="C33" s="131">
        <v>55</v>
      </c>
      <c r="D33" s="131">
        <v>55401</v>
      </c>
      <c r="E33" s="131">
        <v>25758</v>
      </c>
      <c r="F33" s="131">
        <v>56468</v>
      </c>
      <c r="G33" s="131">
        <v>215435</v>
      </c>
      <c r="H33" s="131">
        <v>667345</v>
      </c>
      <c r="I33" s="131">
        <v>304</v>
      </c>
      <c r="J33" s="131">
        <v>7061</v>
      </c>
      <c r="K33" s="131">
        <v>38</v>
      </c>
      <c r="L33" s="131">
        <v>3305</v>
      </c>
      <c r="M33" s="131">
        <v>0</v>
      </c>
      <c r="N33" s="131">
        <v>0</v>
      </c>
      <c r="O33" s="131">
        <f>M33+K33+I33+G33+E33+C33+MSMEoutstanding_5!M33+OutstandingAgri_4!K33</f>
        <v>1518801</v>
      </c>
      <c r="P33" s="131">
        <f>N33+L33+J33+H33+F33+D33+MSMEoutstanding_5!N33+OutstandingAgri_4!L33</f>
        <v>3235353</v>
      </c>
      <c r="Q33" s="132">
        <f t="shared" si="0"/>
        <v>57.36057051495485</v>
      </c>
      <c r="R33" s="131">
        <f>'CD Ratio_3(i)'!F27</f>
        <v>5640378</v>
      </c>
    </row>
    <row r="34" spans="1:18" ht="15" customHeight="1">
      <c r="A34" s="142"/>
      <c r="B34" s="137" t="s">
        <v>299</v>
      </c>
      <c r="C34" s="138">
        <f>SUM(C28:C33)</f>
        <v>55</v>
      </c>
      <c r="D34" s="138">
        <f aca="true" t="shared" si="2" ref="D34:P34">SUM(D28:D33)</f>
        <v>55401</v>
      </c>
      <c r="E34" s="138">
        <f t="shared" si="2"/>
        <v>25973</v>
      </c>
      <c r="F34" s="138">
        <f t="shared" si="2"/>
        <v>56991.03</v>
      </c>
      <c r="G34" s="138">
        <f t="shared" si="2"/>
        <v>216558</v>
      </c>
      <c r="H34" s="138">
        <f t="shared" si="2"/>
        <v>679403.65</v>
      </c>
      <c r="I34" s="138">
        <f t="shared" si="2"/>
        <v>304</v>
      </c>
      <c r="J34" s="138">
        <f t="shared" si="2"/>
        <v>7061</v>
      </c>
      <c r="K34" s="138">
        <f t="shared" si="2"/>
        <v>38</v>
      </c>
      <c r="L34" s="138">
        <f t="shared" si="2"/>
        <v>3305</v>
      </c>
      <c r="M34" s="138">
        <f t="shared" si="2"/>
        <v>1947</v>
      </c>
      <c r="N34" s="138">
        <f t="shared" si="2"/>
        <v>13721.77</v>
      </c>
      <c r="O34" s="138">
        <f t="shared" si="2"/>
        <v>1524330</v>
      </c>
      <c r="P34" s="138">
        <f t="shared" si="2"/>
        <v>3278579.12</v>
      </c>
      <c r="Q34" s="129">
        <f t="shared" si="0"/>
        <v>55.35287675220085</v>
      </c>
      <c r="R34" s="138">
        <f>SUM(R28:R33)</f>
        <v>5923051</v>
      </c>
    </row>
    <row r="35" spans="1:18" ht="15" customHeight="1">
      <c r="A35" s="79">
        <v>28</v>
      </c>
      <c r="B35" s="130" t="s">
        <v>49</v>
      </c>
      <c r="C35" s="131">
        <v>0</v>
      </c>
      <c r="D35" s="131">
        <v>0</v>
      </c>
      <c r="E35" s="131">
        <v>134</v>
      </c>
      <c r="F35" s="131">
        <v>519.45</v>
      </c>
      <c r="G35" s="131">
        <v>6293</v>
      </c>
      <c r="H35" s="131">
        <v>63944.68</v>
      </c>
      <c r="I35" s="131">
        <v>528</v>
      </c>
      <c r="J35" s="131">
        <v>0</v>
      </c>
      <c r="K35" s="131">
        <v>0</v>
      </c>
      <c r="L35" s="131">
        <v>0</v>
      </c>
      <c r="M35" s="131">
        <v>48673</v>
      </c>
      <c r="N35" s="131">
        <v>7114.48</v>
      </c>
      <c r="O35" s="131">
        <f>M35+K35+I35+G35+E35+C35+MSMEoutstanding_5!M35+OutstandingAgri_4!K35</f>
        <v>151878</v>
      </c>
      <c r="P35" s="131">
        <f>N35+L35+J35+H35+F35+D35+MSMEoutstanding_5!N35+OutstandingAgri_4!L35</f>
        <v>274811.14</v>
      </c>
      <c r="Q35" s="132">
        <f t="shared" si="0"/>
        <v>48.046257509108834</v>
      </c>
      <c r="R35" s="131">
        <f>'CD Ratio_3(i)'!F34</f>
        <v>571972</v>
      </c>
    </row>
    <row r="36" spans="1:18" ht="15" customHeight="1">
      <c r="A36" s="79">
        <v>29</v>
      </c>
      <c r="B36" s="80" t="s">
        <v>53</v>
      </c>
      <c r="C36" s="131">
        <v>0</v>
      </c>
      <c r="D36" s="131">
        <v>0</v>
      </c>
      <c r="E36" s="131">
        <v>2</v>
      </c>
      <c r="F36" s="131">
        <v>8.756481</v>
      </c>
      <c r="G36" s="131">
        <v>35</v>
      </c>
      <c r="H36" s="131">
        <v>280.8416644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f>M36+K36+I36+G36+E36+C36+MSMEoutstanding_5!M36+OutstandingAgri_4!K36</f>
        <v>140</v>
      </c>
      <c r="P36" s="131">
        <f>N36+L36+J36+H36+F36+D36+MSMEoutstanding_5!N36+OutstandingAgri_4!L36</f>
        <v>5042.1859033</v>
      </c>
      <c r="Q36" s="132">
        <f t="shared" si="0"/>
        <v>57.9694861266958</v>
      </c>
      <c r="R36" s="131">
        <f>'CD Ratio_3(i)'!F38</f>
        <v>8698</v>
      </c>
    </row>
    <row r="37" spans="1:18" ht="15" customHeight="1">
      <c r="A37" s="79">
        <v>30</v>
      </c>
      <c r="B37" s="80" t="s">
        <v>300</v>
      </c>
      <c r="C37" s="131"/>
      <c r="D37" s="131"/>
      <c r="E37" s="131"/>
      <c r="F37" s="131">
        <v>2</v>
      </c>
      <c r="G37" s="131"/>
      <c r="H37" s="131">
        <v>1699</v>
      </c>
      <c r="I37" s="131"/>
      <c r="J37" s="131"/>
      <c r="K37" s="131"/>
      <c r="L37" s="131"/>
      <c r="M37" s="131"/>
      <c r="N37" s="131">
        <v>30</v>
      </c>
      <c r="O37" s="131">
        <f>M37+K37+I37+G37+E37+C37+MSMEoutstanding_5!M37+OutstandingAgri_4!K37</f>
        <v>0</v>
      </c>
      <c r="P37" s="131">
        <f>N37+L37+J37+H37+F37+D37+MSMEoutstanding_5!N37+OutstandingAgri_4!L37</f>
        <v>31214</v>
      </c>
      <c r="Q37" s="132">
        <f t="shared" si="0"/>
        <v>80.31597365170852</v>
      </c>
      <c r="R37" s="131">
        <f>'CD Ratio_3(i)'!F39</f>
        <v>38864</v>
      </c>
    </row>
    <row r="38" spans="1:18" ht="15" customHeight="1">
      <c r="A38" s="79">
        <v>31</v>
      </c>
      <c r="B38" s="130" t="s">
        <v>301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28</v>
      </c>
      <c r="O38" s="131">
        <f>M38+K38+I38+G38+E38+C38+MSMEoutstanding_5!M38+OutstandingAgri_4!K38</f>
        <v>0</v>
      </c>
      <c r="P38" s="131">
        <f>N38+L38+J38+H38+F38+D38+MSMEoutstanding_5!N38+OutstandingAgri_4!L38</f>
        <v>28</v>
      </c>
      <c r="Q38" s="132">
        <f t="shared" si="0"/>
        <v>100</v>
      </c>
      <c r="R38" s="131">
        <f>'CD Ratio_3(i)'!F40</f>
        <v>28</v>
      </c>
    </row>
    <row r="39" spans="1:18" ht="15" customHeight="1">
      <c r="A39" s="79">
        <v>32</v>
      </c>
      <c r="B39" s="130" t="s">
        <v>302</v>
      </c>
      <c r="C39" s="131">
        <v>0</v>
      </c>
      <c r="D39" s="131">
        <v>0</v>
      </c>
      <c r="E39" s="131">
        <v>16</v>
      </c>
      <c r="F39" s="131">
        <v>27.87</v>
      </c>
      <c r="G39" s="131">
        <v>123</v>
      </c>
      <c r="H39" s="131">
        <v>708.64</v>
      </c>
      <c r="I39" s="131">
        <v>0</v>
      </c>
      <c r="J39" s="131">
        <v>0</v>
      </c>
      <c r="K39" s="131">
        <v>0</v>
      </c>
      <c r="L39" s="131">
        <v>0</v>
      </c>
      <c r="M39" s="131">
        <v>14</v>
      </c>
      <c r="N39" s="131">
        <v>5.41</v>
      </c>
      <c r="O39" s="131">
        <f>M39+K39+I39+G39+E39+C39+MSMEoutstanding_5!M39+OutstandingAgri_4!K39</f>
        <v>2170</v>
      </c>
      <c r="P39" s="131">
        <f>N39+L39+J39+H39+F39+D39+MSMEoutstanding_5!N39+OutstandingAgri_4!L39</f>
        <v>7704.56</v>
      </c>
      <c r="Q39" s="132">
        <f t="shared" si="0"/>
        <v>50.49190641588571</v>
      </c>
      <c r="R39" s="131">
        <f>'CD Ratio_3(i)'!F41</f>
        <v>15259</v>
      </c>
    </row>
    <row r="40" spans="1:18" ht="15" customHeight="1">
      <c r="A40" s="79">
        <v>33</v>
      </c>
      <c r="B40" s="130" t="s">
        <v>303</v>
      </c>
      <c r="C40" s="131">
        <v>0</v>
      </c>
      <c r="D40" s="131">
        <v>0</v>
      </c>
      <c r="E40" s="131">
        <v>1188</v>
      </c>
      <c r="F40" s="131">
        <v>2249.02</v>
      </c>
      <c r="G40" s="131">
        <v>11241</v>
      </c>
      <c r="H40" s="131">
        <v>75554.49</v>
      </c>
      <c r="I40" s="131">
        <v>0</v>
      </c>
      <c r="J40" s="131">
        <v>0</v>
      </c>
      <c r="K40" s="131">
        <v>2</v>
      </c>
      <c r="L40" s="131">
        <v>87.17</v>
      </c>
      <c r="M40" s="131">
        <v>1311</v>
      </c>
      <c r="N40" s="131">
        <v>176.07</v>
      </c>
      <c r="O40" s="131">
        <f>M40+K40+I40+G40+E40+C40+MSMEoutstanding_5!M40+OutstandingAgri_4!K40</f>
        <v>273339</v>
      </c>
      <c r="P40" s="131">
        <f>N40+L40+J40+H40+F40+D40+MSMEoutstanding_5!N40+OutstandingAgri_4!L40</f>
        <v>632116.55</v>
      </c>
      <c r="Q40" s="132">
        <f t="shared" si="0"/>
        <v>56.37716414502671</v>
      </c>
      <c r="R40" s="131">
        <f>'CD Ratio_3(i)'!F42</f>
        <v>1121228</v>
      </c>
    </row>
    <row r="41" spans="1:18" ht="15" customHeight="1">
      <c r="A41" s="79">
        <v>34</v>
      </c>
      <c r="B41" s="130" t="s">
        <v>304</v>
      </c>
      <c r="C41" s="131">
        <v>0</v>
      </c>
      <c r="D41" s="131">
        <v>0</v>
      </c>
      <c r="E41" s="131">
        <v>14</v>
      </c>
      <c r="F41" s="131">
        <v>30</v>
      </c>
      <c r="G41" s="131">
        <v>6920</v>
      </c>
      <c r="H41" s="131">
        <v>30636</v>
      </c>
      <c r="I41" s="131"/>
      <c r="J41" s="131"/>
      <c r="K41" s="131"/>
      <c r="L41" s="131"/>
      <c r="M41" s="131">
        <v>127673</v>
      </c>
      <c r="N41" s="131">
        <v>427187.2311743</v>
      </c>
      <c r="O41" s="131">
        <f>M41+K41+I41+G41+E41+C41+MSMEoutstanding_5!M41+OutstandingAgri_4!K41</f>
        <v>264076</v>
      </c>
      <c r="P41" s="131">
        <f>N41+L41+J41+H41+F41+D41+MSMEoutstanding_5!N41+OutstandingAgri_4!L41</f>
        <v>891814.1328766</v>
      </c>
      <c r="Q41" s="132">
        <f t="shared" si="0"/>
        <v>85.85022545339544</v>
      </c>
      <c r="R41" s="131">
        <f>'CD Ratio_3(i)'!F43</f>
        <v>1038802.319</v>
      </c>
    </row>
    <row r="42" spans="1:18" ht="15" customHeight="1">
      <c r="A42" s="79">
        <v>35</v>
      </c>
      <c r="B42" s="130" t="s">
        <v>305</v>
      </c>
      <c r="C42" s="131">
        <v>0</v>
      </c>
      <c r="D42" s="131">
        <v>0</v>
      </c>
      <c r="E42" s="131">
        <v>0</v>
      </c>
      <c r="F42" s="131">
        <v>0</v>
      </c>
      <c r="G42" s="131">
        <v>1</v>
      </c>
      <c r="H42" s="131">
        <v>0.92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f>M42+K42+I42+G42+E42+C42+MSMEoutstanding_5!M42+OutstandingAgri_4!K42</f>
        <v>5853</v>
      </c>
      <c r="P42" s="131">
        <f>N42+L42+J42+H42+F42+D42+MSMEoutstanding_5!N42+OutstandingAgri_4!L42</f>
        <v>131981.91999999998</v>
      </c>
      <c r="Q42" s="132">
        <f t="shared" si="0"/>
        <v>55.22232961368362</v>
      </c>
      <c r="R42" s="131">
        <f>'CD Ratio_3(i)'!F45</f>
        <v>239001</v>
      </c>
    </row>
    <row r="43" spans="1:18" ht="15" customHeight="1">
      <c r="A43" s="79">
        <v>36</v>
      </c>
      <c r="B43" s="130" t="s">
        <v>255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f>M43+K43+I43+G43+E43+C43+MSMEoutstanding_5!M43+OutstandingAgri_4!K43</f>
        <v>156509</v>
      </c>
      <c r="P43" s="131">
        <f>N43+L43+J43+H43+F43+D43+MSMEoutstanding_5!N43+OutstandingAgri_4!L43</f>
        <v>41468</v>
      </c>
      <c r="Q43" s="132">
        <f t="shared" si="0"/>
        <v>100</v>
      </c>
      <c r="R43" s="131">
        <f>'CD Ratio_3(i)'!F35</f>
        <v>41468</v>
      </c>
    </row>
    <row r="44" spans="1:18" ht="15" customHeight="1">
      <c r="A44" s="79">
        <v>37</v>
      </c>
      <c r="B44" s="130" t="s">
        <v>306</v>
      </c>
      <c r="C44" s="131">
        <v>0</v>
      </c>
      <c r="D44" s="131">
        <v>0</v>
      </c>
      <c r="E44" s="131">
        <v>6</v>
      </c>
      <c r="F44" s="131">
        <v>8</v>
      </c>
      <c r="G44" s="131">
        <v>35</v>
      </c>
      <c r="H44" s="131">
        <v>228</v>
      </c>
      <c r="I44" s="131">
        <v>0</v>
      </c>
      <c r="J44" s="131">
        <v>0</v>
      </c>
      <c r="K44" s="131">
        <v>0</v>
      </c>
      <c r="L44" s="131">
        <v>0</v>
      </c>
      <c r="M44" s="131">
        <v>205</v>
      </c>
      <c r="N44" s="131">
        <f>805-306</f>
        <v>499</v>
      </c>
      <c r="O44" s="131">
        <f>M44+K44+I44+G44+E44+C44+MSMEoutstanding_5!M44+OutstandingAgri_4!K44</f>
        <v>484</v>
      </c>
      <c r="P44" s="131">
        <f>N44+L44+J44+H44+F44+D44+MSMEoutstanding_5!N44+OutstandingAgri_4!L44</f>
        <v>1536</v>
      </c>
      <c r="Q44" s="132">
        <f t="shared" si="0"/>
        <v>100</v>
      </c>
      <c r="R44" s="131">
        <f>'CD Ratio_3(i)'!F46</f>
        <v>1536</v>
      </c>
    </row>
    <row r="45" spans="1:18" ht="15" customHeight="1">
      <c r="A45" s="79">
        <v>38</v>
      </c>
      <c r="B45" s="130" t="s">
        <v>307</v>
      </c>
      <c r="C45" s="131">
        <v>0</v>
      </c>
      <c r="D45" s="131">
        <v>0</v>
      </c>
      <c r="E45" s="131">
        <v>28</v>
      </c>
      <c r="F45" s="131">
        <v>190</v>
      </c>
      <c r="G45" s="131">
        <v>271</v>
      </c>
      <c r="H45" s="131">
        <v>2521</v>
      </c>
      <c r="I45" s="131">
        <v>0</v>
      </c>
      <c r="J45" s="131">
        <v>0</v>
      </c>
      <c r="K45" s="131">
        <v>0</v>
      </c>
      <c r="L45" s="131">
        <v>0</v>
      </c>
      <c r="M45" s="131">
        <v>699</v>
      </c>
      <c r="N45" s="131">
        <v>12308</v>
      </c>
      <c r="O45" s="131">
        <f>M45+K45+I45+G45+E45+C45+MSMEoutstanding_5!M45+OutstandingAgri_4!K45</f>
        <v>3835</v>
      </c>
      <c r="P45" s="131">
        <f>N45+L45+J45+H45+F45+D45+MSMEoutstanding_5!N45+OutstandingAgri_4!L45</f>
        <v>23313</v>
      </c>
      <c r="Q45" s="132">
        <f t="shared" si="0"/>
        <v>71.14345875675181</v>
      </c>
      <c r="R45" s="131">
        <f>'CD Ratio_3(i)'!F47</f>
        <v>32769</v>
      </c>
    </row>
    <row r="46" spans="1:18" ht="15" customHeight="1">
      <c r="A46" s="79">
        <v>39</v>
      </c>
      <c r="B46" s="130" t="s">
        <v>95</v>
      </c>
      <c r="C46" s="131">
        <v>1</v>
      </c>
      <c r="D46" s="131">
        <v>213.75</v>
      </c>
      <c r="E46" s="131">
        <v>9</v>
      </c>
      <c r="F46" s="131">
        <v>25.21</v>
      </c>
      <c r="G46" s="131">
        <v>61</v>
      </c>
      <c r="H46" s="131">
        <v>895.66</v>
      </c>
      <c r="I46" s="131">
        <v>0</v>
      </c>
      <c r="J46" s="131">
        <v>0</v>
      </c>
      <c r="K46" s="131">
        <v>0</v>
      </c>
      <c r="L46" s="131">
        <v>0</v>
      </c>
      <c r="M46" s="131">
        <v>1</v>
      </c>
      <c r="N46" s="131">
        <v>10</v>
      </c>
      <c r="O46" s="131">
        <f>M46+K46+I46+G46+E46+C46+MSMEoutstanding_5!M46+OutstandingAgri_4!K46</f>
        <v>90</v>
      </c>
      <c r="P46" s="131">
        <f>N46+L46+J46+H46+F46+D46+MSMEoutstanding_5!N46+OutstandingAgri_4!L46</f>
        <v>1267.4899999999998</v>
      </c>
      <c r="Q46" s="132">
        <f t="shared" si="0"/>
        <v>9.023850206464472</v>
      </c>
      <c r="R46" s="131">
        <f>'CD Ratio_3(i)'!F48</f>
        <v>14046</v>
      </c>
    </row>
    <row r="47" spans="1:18" ht="15" customHeight="1">
      <c r="A47" s="79">
        <v>40</v>
      </c>
      <c r="B47" s="130" t="s">
        <v>308</v>
      </c>
      <c r="C47" s="131">
        <v>0</v>
      </c>
      <c r="D47" s="131">
        <v>0</v>
      </c>
      <c r="E47" s="131">
        <v>0</v>
      </c>
      <c r="F47" s="131">
        <v>0</v>
      </c>
      <c r="G47" s="131">
        <v>175</v>
      </c>
      <c r="H47" s="131">
        <v>682.22</v>
      </c>
      <c r="I47" s="131">
        <v>0</v>
      </c>
      <c r="J47" s="131">
        <v>0</v>
      </c>
      <c r="K47" s="131">
        <v>0</v>
      </c>
      <c r="L47" s="131">
        <v>0</v>
      </c>
      <c r="M47" s="131">
        <v>16</v>
      </c>
      <c r="N47" s="131">
        <v>6.648</v>
      </c>
      <c r="O47" s="131">
        <f>M47+K47+I47+G47+E47+C47+MSMEoutstanding_5!M47+OutstandingAgri_4!K47</f>
        <v>32490</v>
      </c>
      <c r="P47" s="131">
        <f>N47+L47+J47+H47+F47+D47+MSMEoutstanding_5!N47+OutstandingAgri_4!L47</f>
        <v>134735.654</v>
      </c>
      <c r="Q47" s="132">
        <f t="shared" si="0"/>
        <v>68.19641342309055</v>
      </c>
      <c r="R47" s="131">
        <f>'CD Ratio_3(i)'!F49</f>
        <v>197570</v>
      </c>
    </row>
    <row r="48" spans="1:18" ht="15" customHeight="1">
      <c r="A48" s="79">
        <v>41</v>
      </c>
      <c r="B48" s="130" t="s">
        <v>309</v>
      </c>
      <c r="C48" s="131">
        <v>0</v>
      </c>
      <c r="D48" s="131">
        <v>0</v>
      </c>
      <c r="E48" s="131">
        <v>0</v>
      </c>
      <c r="F48" s="131">
        <v>0</v>
      </c>
      <c r="G48" s="131">
        <v>5</v>
      </c>
      <c r="H48" s="131">
        <v>28</v>
      </c>
      <c r="I48" s="131">
        <v>0</v>
      </c>
      <c r="J48" s="131">
        <v>0</v>
      </c>
      <c r="K48" s="131">
        <v>0</v>
      </c>
      <c r="L48" s="131">
        <v>0</v>
      </c>
      <c r="M48" s="131">
        <v>8</v>
      </c>
      <c r="N48" s="131">
        <v>788</v>
      </c>
      <c r="O48" s="131">
        <f>M48+K48+I48+G48+E48+C48+MSMEoutstanding_5!M48+OutstandingAgri_4!K48</f>
        <v>15</v>
      </c>
      <c r="P48" s="131">
        <f>N48+L48+J48+H48+F48+D48+MSMEoutstanding_5!N48+OutstandingAgri_4!L48</f>
        <v>937</v>
      </c>
      <c r="Q48" s="132">
        <f t="shared" si="0"/>
        <v>25.046778936113338</v>
      </c>
      <c r="R48" s="131">
        <f>'CD Ratio_3(i)'!F50</f>
        <v>3741</v>
      </c>
    </row>
    <row r="49" spans="1:18" ht="15" customHeight="1">
      <c r="A49" s="79">
        <v>42</v>
      </c>
      <c r="B49" s="139" t="s">
        <v>267</v>
      </c>
      <c r="C49" s="131">
        <v>1</v>
      </c>
      <c r="D49" s="131">
        <v>1</v>
      </c>
      <c r="E49" s="131">
        <v>6</v>
      </c>
      <c r="F49" s="131">
        <v>13.64</v>
      </c>
      <c r="G49" s="131">
        <v>64</v>
      </c>
      <c r="H49" s="131">
        <v>608.85</v>
      </c>
      <c r="I49" s="131">
        <v>1</v>
      </c>
      <c r="J49" s="131">
        <v>174</v>
      </c>
      <c r="K49" s="131">
        <v>0</v>
      </c>
      <c r="L49" s="131">
        <v>0</v>
      </c>
      <c r="M49" s="131">
        <v>55</v>
      </c>
      <c r="N49" s="131">
        <v>2379.24</v>
      </c>
      <c r="O49" s="131">
        <f>M49+K49+I49+G49+E49+C49+MSMEoutstanding_5!M49+OutstandingAgri_4!K49</f>
        <v>204</v>
      </c>
      <c r="P49" s="131">
        <f>N49+L49+J49+H49+F49+D49+MSMEoutstanding_5!N49+OutstandingAgri_4!L49</f>
        <v>4775.95</v>
      </c>
      <c r="Q49" s="132">
        <f t="shared" si="0"/>
        <v>99.99895309882747</v>
      </c>
      <c r="R49" s="131">
        <f>'CD Ratio_3(i)'!F52</f>
        <v>4776</v>
      </c>
    </row>
    <row r="50" spans="1:18" ht="15" customHeight="1">
      <c r="A50" s="79">
        <v>43</v>
      </c>
      <c r="B50" s="130" t="s">
        <v>311</v>
      </c>
      <c r="C50" s="131">
        <v>0</v>
      </c>
      <c r="D50" s="131">
        <v>0</v>
      </c>
      <c r="E50" s="131">
        <v>878</v>
      </c>
      <c r="F50" s="131">
        <v>120.68097078</v>
      </c>
      <c r="G50" s="131">
        <v>430</v>
      </c>
      <c r="H50" s="131">
        <v>74.51030398</v>
      </c>
      <c r="I50" s="131">
        <v>0</v>
      </c>
      <c r="J50" s="131">
        <v>0</v>
      </c>
      <c r="K50" s="131">
        <v>0</v>
      </c>
      <c r="L50" s="131">
        <v>0</v>
      </c>
      <c r="M50" s="131">
        <v>156502</v>
      </c>
      <c r="N50" s="131">
        <v>19804.1827951596</v>
      </c>
      <c r="O50" s="131">
        <f>M50+K50+I50+G50+E50+C50+MSMEoutstanding_5!M50+OutstandingAgri_4!K50</f>
        <v>168325</v>
      </c>
      <c r="P50" s="131">
        <f>N50+L50+J50+H50+F50+D50+MSMEoutstanding_5!N50+OutstandingAgri_4!L50</f>
        <v>49145.5543655596</v>
      </c>
      <c r="Q50" s="132">
        <f t="shared" si="0"/>
        <v>62.70719618904463</v>
      </c>
      <c r="R50" s="131">
        <f>'CD Ratio_3(i)'!F51</f>
        <v>78373.0693641596</v>
      </c>
    </row>
    <row r="51" spans="1:18" ht="15" customHeight="1">
      <c r="A51" s="79">
        <v>44</v>
      </c>
      <c r="B51" s="130" t="s">
        <v>78</v>
      </c>
      <c r="C51" s="131">
        <v>0</v>
      </c>
      <c r="D51" s="131">
        <v>0</v>
      </c>
      <c r="E51" s="131">
        <v>0</v>
      </c>
      <c r="F51" s="131">
        <v>0</v>
      </c>
      <c r="G51" s="131">
        <v>18</v>
      </c>
      <c r="H51" s="131">
        <v>217.09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f>M51+K51+I51+G51+E51+C51+MSMEoutstanding_5!M51+OutstandingAgri_4!K51</f>
        <v>13652</v>
      </c>
      <c r="P51" s="131">
        <f>N51+L51+J51+H51+F51+D51+MSMEoutstanding_5!N51+OutstandingAgri_4!L51</f>
        <v>68470.41</v>
      </c>
      <c r="Q51" s="132">
        <f t="shared" si="0"/>
        <v>86.56183312262958</v>
      </c>
      <c r="R51" s="131">
        <f>'CD Ratio_3(i)'!F55</f>
        <v>79100</v>
      </c>
    </row>
    <row r="52" spans="1:18" ht="15" customHeight="1">
      <c r="A52" s="82"/>
      <c r="B52" s="137" t="s">
        <v>274</v>
      </c>
      <c r="C52" s="138">
        <f>SUM(C35:C51)</f>
        <v>2</v>
      </c>
      <c r="D52" s="138">
        <f aca="true" t="shared" si="3" ref="D52:P52">SUM(D35:D51)</f>
        <v>214.75</v>
      </c>
      <c r="E52" s="138">
        <f t="shared" si="3"/>
        <v>2281</v>
      </c>
      <c r="F52" s="138">
        <f t="shared" si="3"/>
        <v>3194.62745178</v>
      </c>
      <c r="G52" s="138">
        <f t="shared" si="3"/>
        <v>25672</v>
      </c>
      <c r="H52" s="138">
        <f t="shared" si="3"/>
        <v>178079.90196838003</v>
      </c>
      <c r="I52" s="138">
        <f t="shared" si="3"/>
        <v>529</v>
      </c>
      <c r="J52" s="138">
        <f t="shared" si="3"/>
        <v>174</v>
      </c>
      <c r="K52" s="138">
        <f t="shared" si="3"/>
        <v>2</v>
      </c>
      <c r="L52" s="138">
        <f t="shared" si="3"/>
        <v>87.17</v>
      </c>
      <c r="M52" s="138">
        <f t="shared" si="3"/>
        <v>335157</v>
      </c>
      <c r="N52" s="138">
        <f t="shared" si="3"/>
        <v>470336.2619694596</v>
      </c>
      <c r="O52" s="138">
        <f t="shared" si="3"/>
        <v>1073060</v>
      </c>
      <c r="P52" s="138">
        <f t="shared" si="3"/>
        <v>2300361.54714546</v>
      </c>
      <c r="Q52" s="129">
        <f t="shared" si="0"/>
        <v>65.9652684597034</v>
      </c>
      <c r="R52" s="138">
        <f>SUM(R35:R51)</f>
        <v>3487231.3883641595</v>
      </c>
    </row>
    <row r="53" spans="1:18" ht="15" customHeight="1">
      <c r="A53" s="79">
        <v>45</v>
      </c>
      <c r="B53" s="130" t="s">
        <v>48</v>
      </c>
      <c r="C53" s="131">
        <v>0</v>
      </c>
      <c r="D53" s="131">
        <v>0</v>
      </c>
      <c r="E53" s="131">
        <v>1192</v>
      </c>
      <c r="F53" s="131">
        <v>2765</v>
      </c>
      <c r="G53" s="131">
        <v>70427</v>
      </c>
      <c r="H53" s="131">
        <v>71549</v>
      </c>
      <c r="I53" s="131">
        <v>0</v>
      </c>
      <c r="J53" s="131">
        <v>0</v>
      </c>
      <c r="K53" s="131">
        <v>90</v>
      </c>
      <c r="L53" s="131">
        <v>14</v>
      </c>
      <c r="M53" s="131">
        <v>1171</v>
      </c>
      <c r="N53" s="131">
        <v>6281</v>
      </c>
      <c r="O53" s="131">
        <f>M53+K53+I53+G53+E53+C53+MSMEoutstanding_5!M53+OutstandingAgri_4!K53</f>
        <v>349607</v>
      </c>
      <c r="P53" s="131">
        <f>N53+L53+J53+H53+F53+D53+MSMEoutstanding_5!N53+OutstandingAgri_4!L53</f>
        <v>335127</v>
      </c>
      <c r="Q53" s="132">
        <f t="shared" si="0"/>
        <v>87.88717989064159</v>
      </c>
      <c r="R53" s="131">
        <f>'CD Ratio_3(i)'!F57</f>
        <v>381315</v>
      </c>
    </row>
    <row r="54" spans="1:18" ht="15" customHeight="1">
      <c r="A54" s="79">
        <v>46</v>
      </c>
      <c r="B54" s="130" t="s">
        <v>269</v>
      </c>
      <c r="C54" s="131">
        <v>0</v>
      </c>
      <c r="D54" s="131">
        <v>0</v>
      </c>
      <c r="E54" s="131">
        <v>647</v>
      </c>
      <c r="F54" s="131">
        <v>1198</v>
      </c>
      <c r="G54" s="131">
        <v>55212</v>
      </c>
      <c r="H54" s="131">
        <v>45455</v>
      </c>
      <c r="I54" s="131">
        <v>0</v>
      </c>
      <c r="J54" s="131">
        <v>0</v>
      </c>
      <c r="K54" s="131">
        <v>798</v>
      </c>
      <c r="L54" s="131">
        <v>168</v>
      </c>
      <c r="M54" s="131">
        <v>11315</v>
      </c>
      <c r="N54" s="131">
        <v>3007</v>
      </c>
      <c r="O54" s="131">
        <f>M54+K54+I54+G54+E54+C54+MSMEoutstanding_5!M54+OutstandingAgri_4!K54</f>
        <v>327718</v>
      </c>
      <c r="P54" s="131">
        <f>N54+L54+J54+H54+F54+D54+MSMEoutstanding_5!N54+OutstandingAgri_4!L54</f>
        <v>238467</v>
      </c>
      <c r="Q54" s="132">
        <f t="shared" si="0"/>
        <v>92.54528943324175</v>
      </c>
      <c r="R54" s="131">
        <f>'CD Ratio_3(i)'!F58</f>
        <v>257676</v>
      </c>
    </row>
    <row r="55" spans="1:18" ht="15" customHeight="1">
      <c r="A55" s="79">
        <v>47</v>
      </c>
      <c r="B55" s="130" t="s">
        <v>54</v>
      </c>
      <c r="C55" s="131">
        <v>0</v>
      </c>
      <c r="D55" s="131">
        <v>0</v>
      </c>
      <c r="E55" s="131">
        <v>1913</v>
      </c>
      <c r="F55" s="131">
        <v>4004.47</v>
      </c>
      <c r="G55" s="131">
        <v>60492</v>
      </c>
      <c r="H55" s="131">
        <v>54297.32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f>M55+K55+I55+G55+E55+C55+MSMEoutstanding_5!M55+OutstandingAgri_4!K55</f>
        <v>325138</v>
      </c>
      <c r="P55" s="131">
        <f>N55+L55+J55+H55+F55+D55+MSMEoutstanding_5!N55+OutstandingAgri_4!L55</f>
        <v>391150.06</v>
      </c>
      <c r="Q55" s="132">
        <f t="shared" si="0"/>
        <v>90.63898787805762</v>
      </c>
      <c r="R55" s="131">
        <f>'CD Ratio_3(i)'!F59</f>
        <v>431547.25042411</v>
      </c>
    </row>
    <row r="56" spans="1:18" ht="15" customHeight="1">
      <c r="A56" s="82"/>
      <c r="B56" s="137" t="s">
        <v>270</v>
      </c>
      <c r="C56" s="138">
        <f>SUM(C53:C55)</f>
        <v>0</v>
      </c>
      <c r="D56" s="138">
        <f aca="true" t="shared" si="4" ref="D56:P56">SUM(D53:D55)</f>
        <v>0</v>
      </c>
      <c r="E56" s="138">
        <f t="shared" si="4"/>
        <v>3752</v>
      </c>
      <c r="F56" s="138">
        <f t="shared" si="4"/>
        <v>7967.469999999999</v>
      </c>
      <c r="G56" s="138">
        <f t="shared" si="4"/>
        <v>186131</v>
      </c>
      <c r="H56" s="138">
        <f t="shared" si="4"/>
        <v>171301.32</v>
      </c>
      <c r="I56" s="138">
        <f t="shared" si="4"/>
        <v>0</v>
      </c>
      <c r="J56" s="138">
        <f t="shared" si="4"/>
        <v>0</v>
      </c>
      <c r="K56" s="138">
        <f t="shared" si="4"/>
        <v>888</v>
      </c>
      <c r="L56" s="138">
        <f t="shared" si="4"/>
        <v>182</v>
      </c>
      <c r="M56" s="138">
        <f t="shared" si="4"/>
        <v>12486</v>
      </c>
      <c r="N56" s="138">
        <f t="shared" si="4"/>
        <v>9288</v>
      </c>
      <c r="O56" s="138">
        <f t="shared" si="4"/>
        <v>1002463</v>
      </c>
      <c r="P56" s="138">
        <f t="shared" si="4"/>
        <v>964744.06</v>
      </c>
      <c r="Q56" s="129">
        <f t="shared" si="0"/>
        <v>90.11766367225104</v>
      </c>
      <c r="R56" s="138">
        <f>SUM(R53:R55)</f>
        <v>1070538.2504241099</v>
      </c>
    </row>
    <row r="57" spans="1:20" ht="15" customHeight="1">
      <c r="A57" s="79">
        <v>48</v>
      </c>
      <c r="B57" s="130" t="s">
        <v>312</v>
      </c>
      <c r="C57" s="131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58341</v>
      </c>
      <c r="O57" s="131">
        <f>M57+K57+I57+G57+E57+C57+MSMEoutstanding_5!M57+OutstandingAgri_4!K57</f>
        <v>5298069</v>
      </c>
      <c r="P57" s="131">
        <f>N57+L57+J57+H57+F57+D57+MSMEoutstanding_5!N57+OutstandingAgri_4!L57</f>
        <v>1141298</v>
      </c>
      <c r="Q57" s="132">
        <f t="shared" si="0"/>
        <v>100</v>
      </c>
      <c r="R57" s="131">
        <f>'CD Ratio_3(i)'!F61</f>
        <v>1141298</v>
      </c>
      <c r="T57" s="85">
        <v>1099396</v>
      </c>
    </row>
    <row r="58" spans="1:18" ht="15" customHeight="1">
      <c r="A58" s="82"/>
      <c r="B58" s="137" t="s">
        <v>275</v>
      </c>
      <c r="C58" s="138">
        <f>C57</f>
        <v>0</v>
      </c>
      <c r="D58" s="138">
        <f aca="true" t="shared" si="5" ref="D58:P58">D57</f>
        <v>0</v>
      </c>
      <c r="E58" s="138">
        <f t="shared" si="5"/>
        <v>0</v>
      </c>
      <c r="F58" s="138">
        <f t="shared" si="5"/>
        <v>0</v>
      </c>
      <c r="G58" s="138">
        <f t="shared" si="5"/>
        <v>0</v>
      </c>
      <c r="H58" s="138">
        <f t="shared" si="5"/>
        <v>0</v>
      </c>
      <c r="I58" s="138">
        <f t="shared" si="5"/>
        <v>0</v>
      </c>
      <c r="J58" s="138">
        <f t="shared" si="5"/>
        <v>0</v>
      </c>
      <c r="K58" s="138">
        <f t="shared" si="5"/>
        <v>0</v>
      </c>
      <c r="L58" s="138">
        <f t="shared" si="5"/>
        <v>0</v>
      </c>
      <c r="M58" s="138">
        <f t="shared" si="5"/>
        <v>0</v>
      </c>
      <c r="N58" s="138">
        <f t="shared" si="5"/>
        <v>58341</v>
      </c>
      <c r="O58" s="138">
        <f t="shared" si="5"/>
        <v>5298069</v>
      </c>
      <c r="P58" s="138">
        <f t="shared" si="5"/>
        <v>1141298</v>
      </c>
      <c r="Q58" s="129">
        <f t="shared" si="0"/>
        <v>100</v>
      </c>
      <c r="R58" s="138">
        <f>R57</f>
        <v>1141298</v>
      </c>
    </row>
    <row r="59" spans="1:18" ht="15" customHeight="1">
      <c r="A59" s="82"/>
      <c r="B59" s="137" t="s">
        <v>276</v>
      </c>
      <c r="C59" s="138">
        <f>C58+C56+C52+C34+C27</f>
        <v>117</v>
      </c>
      <c r="D59" s="138">
        <f aca="true" t="shared" si="6" ref="D59:P59">D58+D56+D52+D34+D27</f>
        <v>56988.75</v>
      </c>
      <c r="E59" s="138">
        <f t="shared" si="6"/>
        <v>78766</v>
      </c>
      <c r="F59" s="138">
        <f t="shared" si="6"/>
        <v>181424.42745177998</v>
      </c>
      <c r="G59" s="138">
        <f t="shared" si="6"/>
        <v>753361</v>
      </c>
      <c r="H59" s="138">
        <f t="shared" si="6"/>
        <v>1803067.16196838</v>
      </c>
      <c r="I59" s="138">
        <f t="shared" si="6"/>
        <v>1694</v>
      </c>
      <c r="J59" s="138">
        <f t="shared" si="6"/>
        <v>13209.77</v>
      </c>
      <c r="K59" s="138">
        <f t="shared" si="6"/>
        <v>996</v>
      </c>
      <c r="L59" s="138">
        <f t="shared" si="6"/>
        <v>5720.15</v>
      </c>
      <c r="M59" s="138">
        <f t="shared" si="6"/>
        <v>435992</v>
      </c>
      <c r="N59" s="138">
        <f t="shared" si="6"/>
        <v>843032.2919694595</v>
      </c>
      <c r="O59" s="138">
        <f t="shared" si="6"/>
        <v>11172843</v>
      </c>
      <c r="P59" s="138">
        <f t="shared" si="6"/>
        <v>13980045.87377756</v>
      </c>
      <c r="Q59" s="129">
        <f t="shared" si="0"/>
        <v>66.91121862058758</v>
      </c>
      <c r="R59" s="163">
        <f>'CD Ratio_3(i)'!F64</f>
        <v>20893425.888788268</v>
      </c>
    </row>
    <row r="61" spans="4:16" ht="13.5">
      <c r="D61" s="219">
        <v>67266</v>
      </c>
      <c r="E61" s="219"/>
      <c r="F61" s="219">
        <v>174142</v>
      </c>
      <c r="G61" s="219"/>
      <c r="H61" s="219">
        <v>1718967</v>
      </c>
      <c r="I61" s="219"/>
      <c r="J61" s="219">
        <v>24331</v>
      </c>
      <c r="K61" s="219"/>
      <c r="L61" s="219">
        <v>7207</v>
      </c>
      <c r="M61" s="219"/>
      <c r="N61" s="219">
        <v>383128</v>
      </c>
      <c r="O61" s="219"/>
      <c r="P61" s="219">
        <v>12121150</v>
      </c>
    </row>
    <row r="62" spans="4:16" ht="13.5"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</row>
    <row r="63" spans="4:16" ht="13.5">
      <c r="D63" s="219">
        <f>D59-D61</f>
        <v>-10277.25</v>
      </c>
      <c r="E63" s="219"/>
      <c r="F63" s="219">
        <f aca="true" t="shared" si="7" ref="F63:P63">F59-F61</f>
        <v>7282.427451779979</v>
      </c>
      <c r="G63" s="219"/>
      <c r="H63" s="219">
        <f t="shared" si="7"/>
        <v>84100.16196837998</v>
      </c>
      <c r="I63" s="219"/>
      <c r="J63" s="219">
        <f t="shared" si="7"/>
        <v>-11121.23</v>
      </c>
      <c r="K63" s="219"/>
      <c r="L63" s="219">
        <f t="shared" si="7"/>
        <v>-1486.8500000000004</v>
      </c>
      <c r="M63" s="219"/>
      <c r="N63" s="219">
        <f t="shared" si="7"/>
        <v>459904.2919694595</v>
      </c>
      <c r="O63" s="219"/>
      <c r="P63" s="219">
        <f t="shared" si="7"/>
        <v>1858895.873777561</v>
      </c>
    </row>
  </sheetData>
  <sheetProtection/>
  <mergeCells count="13">
    <mergeCell ref="A1:P1"/>
    <mergeCell ref="A3:A5"/>
    <mergeCell ref="B3:B5"/>
    <mergeCell ref="C3:P3"/>
    <mergeCell ref="C4:D4"/>
    <mergeCell ref="E4:F4"/>
    <mergeCell ref="G4:H4"/>
    <mergeCell ref="I4:J4"/>
    <mergeCell ref="K4:L4"/>
    <mergeCell ref="R3:R5"/>
    <mergeCell ref="M4:N4"/>
    <mergeCell ref="O4:P4"/>
    <mergeCell ref="Q3:Q5"/>
  </mergeCells>
  <conditionalFormatting sqref="B6">
    <cfRule type="duplicateValues" priority="6" dxfId="197">
      <formula>AND(COUNTIF($B$6:$B$6,B6)&gt;1,NOT(ISBLANK(B6)))</formula>
    </cfRule>
  </conditionalFormatting>
  <conditionalFormatting sqref="B22">
    <cfRule type="duplicateValues" priority="7" dxfId="197">
      <formula>AND(COUNTIF($B$22:$B$22,B22)&gt;1,NOT(ISBLANK(B22)))</formula>
    </cfRule>
  </conditionalFormatting>
  <conditionalFormatting sqref="B33:B34 B26:B30">
    <cfRule type="duplicateValues" priority="8" dxfId="197">
      <formula>AND(COUNTIF($B$33:$B$34,B26)+COUNTIF($B$26:$B$30,B26)&gt;1,NOT(ISBLANK(B26)))</formula>
    </cfRule>
  </conditionalFormatting>
  <conditionalFormatting sqref="B52">
    <cfRule type="duplicateValues" priority="9" dxfId="197">
      <formula>AND(COUNTIF($B$52:$B$52,B52)&gt;1,NOT(ISBLANK(B52)))</formula>
    </cfRule>
  </conditionalFormatting>
  <conditionalFormatting sqref="B56">
    <cfRule type="duplicateValues" priority="10" dxfId="197">
      <formula>AND(COUNTIF($B$56:$B$56,B56)&gt;1,NOT(ISBLANK(B56)))</formula>
    </cfRule>
  </conditionalFormatting>
  <conditionalFormatting sqref="B58">
    <cfRule type="duplicateValues" priority="11" dxfId="197">
      <formula>AND(COUNTIF($B$58:$B$58,B58)&gt;1,NOT(ISBLANK(B58)))</formula>
    </cfRule>
  </conditionalFormatting>
  <conditionalFormatting sqref="Q1:Q65536">
    <cfRule type="cellIs" priority="1" dxfId="198" operator="lessThan" stopIfTrue="1">
      <formula>40</formula>
    </cfRule>
    <cfRule type="cellIs" priority="5" dxfId="198" operator="greaterThan" stopIfTrue="1">
      <formula>100</formula>
    </cfRule>
  </conditionalFormatting>
  <printOptions/>
  <pageMargins left="0.45" right="0.45" top="0.5" bottom="0.5" header="0.3" footer="0.3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59"/>
  <sheetViews>
    <sheetView view="pageBreakPreview" zoomScale="6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5" sqref="I15"/>
    </sheetView>
  </sheetViews>
  <sheetFormatPr defaultColWidth="4.421875" defaultRowHeight="12.75"/>
  <cols>
    <col min="1" max="1" width="4.421875" style="85" customWidth="1"/>
    <col min="2" max="2" width="22.57421875" style="85" customWidth="1"/>
    <col min="3" max="3" width="11.28125" style="145" bestFit="1" customWidth="1"/>
    <col min="4" max="4" width="11.140625" style="145" bestFit="1" customWidth="1"/>
    <col min="5" max="6" width="10.140625" style="145" bestFit="1" customWidth="1"/>
    <col min="7" max="7" width="9.00390625" style="145" bestFit="1" customWidth="1"/>
    <col min="8" max="8" width="9.140625" style="145" bestFit="1" customWidth="1"/>
    <col min="9" max="9" width="12.00390625" style="145" customWidth="1"/>
    <col min="10" max="10" width="10.57421875" style="145" bestFit="1" customWidth="1"/>
    <col min="11" max="11" width="9.421875" style="145" bestFit="1" customWidth="1"/>
    <col min="12" max="12" width="11.28125" style="145" bestFit="1" customWidth="1"/>
    <col min="13" max="13" width="7.421875" style="145" customWidth="1"/>
    <col min="14" max="14" width="7.140625" style="145" customWidth="1"/>
    <col min="15" max="15" width="8.8515625" style="145" customWidth="1"/>
    <col min="16" max="16" width="10.421875" style="145" bestFit="1" customWidth="1"/>
    <col min="17" max="17" width="11.57421875" style="145" bestFit="1" customWidth="1"/>
    <col min="18" max="18" width="11.8515625" style="145" bestFit="1" customWidth="1"/>
    <col min="19" max="19" width="10.00390625" style="141" hidden="1" customWidth="1"/>
    <col min="20" max="20" width="9.00390625" style="85" hidden="1" customWidth="1"/>
    <col min="21" max="21" width="10.00390625" style="85" hidden="1" customWidth="1"/>
    <col min="22" max="16384" width="4.421875" style="85" customWidth="1"/>
  </cols>
  <sheetData>
    <row r="1" spans="1:19" ht="18.75">
      <c r="A1" s="564" t="s">
        <v>162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</row>
    <row r="2" spans="2:12" ht="13.5">
      <c r="B2" s="140" t="s">
        <v>141</v>
      </c>
      <c r="I2" s="145" t="s">
        <v>160</v>
      </c>
      <c r="L2" s="146" t="s">
        <v>163</v>
      </c>
    </row>
    <row r="3" spans="1:19" ht="13.5" customHeight="1">
      <c r="A3" s="565" t="s">
        <v>124</v>
      </c>
      <c r="B3" s="565" t="s">
        <v>102</v>
      </c>
      <c r="C3" s="566" t="s">
        <v>131</v>
      </c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</row>
    <row r="4" spans="1:20" ht="75" customHeight="1">
      <c r="A4" s="565"/>
      <c r="B4" s="565"/>
      <c r="C4" s="573" t="s">
        <v>164</v>
      </c>
      <c r="D4" s="573"/>
      <c r="E4" s="573" t="s">
        <v>165</v>
      </c>
      <c r="F4" s="573"/>
      <c r="G4" s="573" t="s">
        <v>166</v>
      </c>
      <c r="H4" s="573"/>
      <c r="I4" s="573" t="s">
        <v>167</v>
      </c>
      <c r="J4" s="573"/>
      <c r="K4" s="573" t="s">
        <v>168</v>
      </c>
      <c r="L4" s="573"/>
      <c r="M4" s="573" t="s">
        <v>169</v>
      </c>
      <c r="N4" s="573"/>
      <c r="O4" s="573" t="s">
        <v>244</v>
      </c>
      <c r="P4" s="573"/>
      <c r="Q4" s="573" t="s">
        <v>170</v>
      </c>
      <c r="R4" s="573"/>
      <c r="S4" s="148" t="s">
        <v>325</v>
      </c>
      <c r="T4" s="167">
        <v>0.1</v>
      </c>
    </row>
    <row r="5" spans="1:19" ht="13.5">
      <c r="A5" s="565"/>
      <c r="B5" s="565"/>
      <c r="C5" s="147" t="s">
        <v>315</v>
      </c>
      <c r="D5" s="147" t="s">
        <v>314</v>
      </c>
      <c r="E5" s="147" t="s">
        <v>315</v>
      </c>
      <c r="F5" s="147" t="s">
        <v>314</v>
      </c>
      <c r="G5" s="147" t="s">
        <v>315</v>
      </c>
      <c r="H5" s="147" t="s">
        <v>314</v>
      </c>
      <c r="I5" s="147" t="s">
        <v>315</v>
      </c>
      <c r="J5" s="147" t="s">
        <v>314</v>
      </c>
      <c r="K5" s="147" t="s">
        <v>315</v>
      </c>
      <c r="L5" s="147" t="s">
        <v>314</v>
      </c>
      <c r="M5" s="147" t="s">
        <v>315</v>
      </c>
      <c r="N5" s="147" t="s">
        <v>314</v>
      </c>
      <c r="O5" s="147" t="s">
        <v>315</v>
      </c>
      <c r="P5" s="147" t="s">
        <v>314</v>
      </c>
      <c r="Q5" s="147" t="s">
        <v>315</v>
      </c>
      <c r="R5" s="147" t="s">
        <v>314</v>
      </c>
      <c r="S5" s="143" t="s">
        <v>17</v>
      </c>
    </row>
    <row r="6" spans="1:20" ht="15" customHeight="1">
      <c r="A6" s="79">
        <v>1</v>
      </c>
      <c r="B6" s="130" t="s">
        <v>57</v>
      </c>
      <c r="C6" s="131">
        <v>47563</v>
      </c>
      <c r="D6" s="131">
        <v>93687</v>
      </c>
      <c r="E6" s="131">
        <v>39465</v>
      </c>
      <c r="F6" s="131">
        <v>95648</v>
      </c>
      <c r="G6" s="131">
        <v>1520</v>
      </c>
      <c r="H6" s="131">
        <v>763.18</v>
      </c>
      <c r="I6" s="131">
        <v>13468</v>
      </c>
      <c r="J6" s="131">
        <v>21526</v>
      </c>
      <c r="K6" s="131">
        <v>1589</v>
      </c>
      <c r="L6" s="131">
        <v>4</v>
      </c>
      <c r="M6" s="131">
        <v>298</v>
      </c>
      <c r="N6" s="131">
        <v>36.89</v>
      </c>
      <c r="O6" s="131">
        <f>Q6-M6-K6-I6-G6-E6-C6</f>
        <v>2135</v>
      </c>
      <c r="P6" s="131">
        <f>R6-N6-L6-J6-H6-F6-D6</f>
        <v>6785</v>
      </c>
      <c r="Q6" s="131">
        <v>106038</v>
      </c>
      <c r="R6" s="131">
        <v>218450.07</v>
      </c>
      <c r="S6" s="149">
        <f>R6*100/'Pri Sec_outstanding_6'!R6</f>
        <v>34.152995050201525</v>
      </c>
      <c r="T6" s="145">
        <f>D6*100/'Pri Sec_outstanding_6'!R6</f>
        <v>14.647244778947567</v>
      </c>
    </row>
    <row r="7" spans="1:20" ht="15" customHeight="1">
      <c r="A7" s="79">
        <v>2</v>
      </c>
      <c r="B7" s="130" t="s">
        <v>58</v>
      </c>
      <c r="C7" s="131">
        <v>2</v>
      </c>
      <c r="D7" s="131">
        <v>4</v>
      </c>
      <c r="E7" s="131">
        <v>400</v>
      </c>
      <c r="F7" s="131">
        <v>663</v>
      </c>
      <c r="G7" s="131">
        <v>0</v>
      </c>
      <c r="H7" s="131">
        <v>0</v>
      </c>
      <c r="I7" s="131">
        <v>610</v>
      </c>
      <c r="J7" s="131">
        <v>1751</v>
      </c>
      <c r="K7" s="131">
        <v>0</v>
      </c>
      <c r="L7" s="131">
        <v>0</v>
      </c>
      <c r="M7" s="131">
        <v>8</v>
      </c>
      <c r="N7" s="131">
        <v>1</v>
      </c>
      <c r="O7" s="131">
        <f aca="true" t="shared" si="0" ref="O7:O55">Q7-M7-K7-I7-G7-E7-C7</f>
        <v>784</v>
      </c>
      <c r="P7" s="131">
        <f aca="true" t="shared" si="1" ref="P7:P55">R7-N7-L7-J7-H7-F7-D7</f>
        <v>590</v>
      </c>
      <c r="Q7" s="131">
        <v>1804</v>
      </c>
      <c r="R7" s="131">
        <v>3009</v>
      </c>
      <c r="S7" s="149">
        <f>R7*100/'Pri Sec_outstanding_6'!R7</f>
        <v>6.352523909050605</v>
      </c>
      <c r="T7" s="145">
        <f>D7*100/'Pri Sec_outstanding_6'!R7</f>
        <v>0.008444697785378005</v>
      </c>
    </row>
    <row r="8" spans="1:20" ht="15" customHeight="1">
      <c r="A8" s="79">
        <v>3</v>
      </c>
      <c r="B8" s="130" t="s">
        <v>59</v>
      </c>
      <c r="C8" s="131">
        <v>48429</v>
      </c>
      <c r="D8" s="131">
        <v>52755</v>
      </c>
      <c r="E8" s="131">
        <v>11368</v>
      </c>
      <c r="F8" s="131">
        <v>48542.41</v>
      </c>
      <c r="G8" s="131">
        <v>657</v>
      </c>
      <c r="H8" s="131">
        <v>859.16</v>
      </c>
      <c r="I8" s="131">
        <v>3041</v>
      </c>
      <c r="J8" s="131">
        <v>32573</v>
      </c>
      <c r="K8" s="131">
        <v>5997</v>
      </c>
      <c r="L8" s="131">
        <v>236.72</v>
      </c>
      <c r="M8" s="131">
        <v>47</v>
      </c>
      <c r="N8" s="131">
        <v>326</v>
      </c>
      <c r="O8" s="131">
        <f t="shared" si="0"/>
        <v>2608</v>
      </c>
      <c r="P8" s="131">
        <f t="shared" si="1"/>
        <v>5081.5</v>
      </c>
      <c r="Q8" s="131">
        <v>72147</v>
      </c>
      <c r="R8" s="131">
        <v>140373.79</v>
      </c>
      <c r="S8" s="149">
        <f>R8*100/'Pri Sec_outstanding_6'!R8</f>
        <v>15.73168104897456</v>
      </c>
      <c r="T8" s="145">
        <f>D8*100/'Pri Sec_outstanding_6'!R8</f>
        <v>5.912249243527961</v>
      </c>
    </row>
    <row r="9" spans="1:20" ht="15" customHeight="1">
      <c r="A9" s="79">
        <v>4</v>
      </c>
      <c r="B9" s="130" t="s">
        <v>60</v>
      </c>
      <c r="C9" s="131">
        <v>239858</v>
      </c>
      <c r="D9" s="131">
        <v>462596</v>
      </c>
      <c r="E9" s="131">
        <v>70423</v>
      </c>
      <c r="F9" s="131">
        <v>89485</v>
      </c>
      <c r="G9" s="131">
        <v>2215</v>
      </c>
      <c r="H9" s="131">
        <v>2263</v>
      </c>
      <c r="I9" s="131">
        <v>16286</v>
      </c>
      <c r="J9" s="131">
        <v>40253.3973183</v>
      </c>
      <c r="K9" s="131">
        <v>5644</v>
      </c>
      <c r="L9" s="131">
        <v>149.13</v>
      </c>
      <c r="M9" s="131">
        <v>31</v>
      </c>
      <c r="N9" s="131">
        <v>10.577385900000001</v>
      </c>
      <c r="O9" s="131">
        <f t="shared" si="0"/>
        <v>125</v>
      </c>
      <c r="P9" s="131">
        <f t="shared" si="1"/>
        <v>48</v>
      </c>
      <c r="Q9" s="131">
        <v>334582</v>
      </c>
      <c r="R9" s="131">
        <v>594805.1047041999</v>
      </c>
      <c r="S9" s="149">
        <f>R9*100/'Pri Sec_outstanding_6'!R9</f>
        <v>36.24966128701038</v>
      </c>
      <c r="T9" s="145">
        <f>D9*100/'Pri Sec_outstanding_6'!R9</f>
        <v>28.192340953538302</v>
      </c>
    </row>
    <row r="10" spans="1:20" ht="15" customHeight="1">
      <c r="A10" s="79">
        <v>5</v>
      </c>
      <c r="B10" s="130" t="s">
        <v>61</v>
      </c>
      <c r="C10" s="131">
        <v>31281</v>
      </c>
      <c r="D10" s="131">
        <v>47429</v>
      </c>
      <c r="E10" s="131">
        <v>13945</v>
      </c>
      <c r="F10" s="131">
        <v>8894.45</v>
      </c>
      <c r="G10" s="131">
        <v>645</v>
      </c>
      <c r="H10" s="131">
        <v>613</v>
      </c>
      <c r="I10" s="131">
        <v>0</v>
      </c>
      <c r="J10" s="131">
        <v>0</v>
      </c>
      <c r="K10" s="131">
        <v>319</v>
      </c>
      <c r="L10" s="131">
        <v>229.64</v>
      </c>
      <c r="M10" s="131">
        <v>62</v>
      </c>
      <c r="N10" s="131">
        <v>41</v>
      </c>
      <c r="O10" s="131">
        <f t="shared" si="0"/>
        <v>1030</v>
      </c>
      <c r="P10" s="131">
        <f t="shared" si="1"/>
        <v>542.9100000000035</v>
      </c>
      <c r="Q10" s="131">
        <v>47282</v>
      </c>
      <c r="R10" s="131">
        <v>57750</v>
      </c>
      <c r="S10" s="149">
        <f>R10*100/'Pri Sec_outstanding_6'!R10</f>
        <v>15.710181830052557</v>
      </c>
      <c r="T10" s="145">
        <f>D10*100/'Pri Sec_outstanding_6'!R10</f>
        <v>12.902479896408012</v>
      </c>
    </row>
    <row r="11" spans="1:20" ht="15" customHeight="1">
      <c r="A11" s="79">
        <v>6</v>
      </c>
      <c r="B11" s="133" t="s">
        <v>289</v>
      </c>
      <c r="C11" s="131">
        <v>0</v>
      </c>
      <c r="D11" s="131">
        <v>0</v>
      </c>
      <c r="E11" s="131">
        <v>71</v>
      </c>
      <c r="F11" s="131">
        <v>40.35</v>
      </c>
      <c r="G11" s="131">
        <v>10</v>
      </c>
      <c r="H11" s="131">
        <v>23.7</v>
      </c>
      <c r="I11" s="131">
        <v>35</v>
      </c>
      <c r="J11" s="131">
        <v>40.6</v>
      </c>
      <c r="K11" s="131">
        <v>2</v>
      </c>
      <c r="L11" s="131">
        <v>0.052000000000000005</v>
      </c>
      <c r="M11" s="131">
        <v>0</v>
      </c>
      <c r="N11" s="131">
        <v>0</v>
      </c>
      <c r="O11" s="131">
        <f t="shared" si="0"/>
        <v>89</v>
      </c>
      <c r="P11" s="131">
        <f t="shared" si="1"/>
        <v>27.00900000000002</v>
      </c>
      <c r="Q11" s="131">
        <v>207</v>
      </c>
      <c r="R11" s="131">
        <v>131.711</v>
      </c>
      <c r="S11" s="149">
        <f>R11*100/'Pri Sec_outstanding_6'!R11</f>
        <v>17.26225425950197</v>
      </c>
      <c r="T11" s="145">
        <f>D11*100/'Pri Sec_outstanding_6'!R11</f>
        <v>0</v>
      </c>
    </row>
    <row r="12" spans="1:20" ht="15" customHeight="1">
      <c r="A12" s="79">
        <v>7</v>
      </c>
      <c r="B12" s="130" t="s">
        <v>62</v>
      </c>
      <c r="C12" s="131">
        <v>20815</v>
      </c>
      <c r="D12" s="131">
        <v>22634</v>
      </c>
      <c r="E12" s="131">
        <v>6229</v>
      </c>
      <c r="F12" s="131">
        <v>5452</v>
      </c>
      <c r="G12" s="131">
        <v>609</v>
      </c>
      <c r="H12" s="131">
        <v>490</v>
      </c>
      <c r="I12" s="131">
        <v>8153</v>
      </c>
      <c r="J12" s="131">
        <v>24771</v>
      </c>
      <c r="K12" s="131">
        <v>7062</v>
      </c>
      <c r="L12" s="131">
        <v>122</v>
      </c>
      <c r="M12" s="131">
        <v>2633</v>
      </c>
      <c r="N12" s="131">
        <v>270</v>
      </c>
      <c r="O12" s="131">
        <f t="shared" si="0"/>
        <v>0</v>
      </c>
      <c r="P12" s="131">
        <f t="shared" si="1"/>
        <v>0</v>
      </c>
      <c r="Q12" s="131">
        <v>45501</v>
      </c>
      <c r="R12" s="131">
        <v>53739</v>
      </c>
      <c r="S12" s="149">
        <f>R12*100/'Pri Sec_outstanding_6'!R12</f>
        <v>13.149922674862479</v>
      </c>
      <c r="T12" s="145">
        <f>D12*100/'Pri Sec_outstanding_6'!R12</f>
        <v>5.5385353248634575</v>
      </c>
    </row>
    <row r="13" spans="1:20" s="140" customFormat="1" ht="15" customHeight="1">
      <c r="A13" s="79">
        <v>8</v>
      </c>
      <c r="B13" s="130" t="s">
        <v>63</v>
      </c>
      <c r="C13" s="131">
        <v>132625</v>
      </c>
      <c r="D13" s="131">
        <v>108403</v>
      </c>
      <c r="E13" s="131">
        <v>110893</v>
      </c>
      <c r="F13" s="131">
        <v>57041</v>
      </c>
      <c r="G13" s="131">
        <v>6675</v>
      </c>
      <c r="H13" s="131">
        <v>3120</v>
      </c>
      <c r="I13" s="131">
        <v>134651</v>
      </c>
      <c r="J13" s="131">
        <v>79779</v>
      </c>
      <c r="K13" s="131">
        <v>30940</v>
      </c>
      <c r="L13" s="131">
        <v>142</v>
      </c>
      <c r="M13" s="131">
        <v>1216</v>
      </c>
      <c r="N13" s="131">
        <v>104</v>
      </c>
      <c r="O13" s="131">
        <v>0</v>
      </c>
      <c r="P13" s="131">
        <f t="shared" si="1"/>
        <v>140818.46999999997</v>
      </c>
      <c r="Q13" s="131">
        <v>0</v>
      </c>
      <c r="R13" s="131">
        <v>389407.47</v>
      </c>
      <c r="S13" s="149">
        <f>R13*100/'Pri Sec_outstanding_6'!R13</f>
        <v>32.328850496463325</v>
      </c>
      <c r="T13" s="145">
        <f>D13*100/'Pri Sec_outstanding_6'!R13</f>
        <v>8.999684521635174</v>
      </c>
    </row>
    <row r="14" spans="1:20" ht="15" customHeight="1">
      <c r="A14" s="79">
        <v>9</v>
      </c>
      <c r="B14" s="130" t="s">
        <v>50</v>
      </c>
      <c r="C14" s="131">
        <v>5245</v>
      </c>
      <c r="D14" s="131">
        <v>17312</v>
      </c>
      <c r="E14" s="131">
        <v>6345</v>
      </c>
      <c r="F14" s="131">
        <v>16567</v>
      </c>
      <c r="G14" s="131">
        <v>85</v>
      </c>
      <c r="H14" s="131">
        <v>106</v>
      </c>
      <c r="I14" s="131">
        <v>125</v>
      </c>
      <c r="J14" s="131">
        <v>125</v>
      </c>
      <c r="K14" s="131">
        <v>25</v>
      </c>
      <c r="L14" s="131">
        <v>1.25</v>
      </c>
      <c r="M14" s="131">
        <v>25</v>
      </c>
      <c r="N14" s="131">
        <v>1</v>
      </c>
      <c r="O14" s="131">
        <f t="shared" si="0"/>
        <v>0</v>
      </c>
      <c r="P14" s="131">
        <f t="shared" si="1"/>
        <v>0</v>
      </c>
      <c r="Q14" s="131">
        <v>11850</v>
      </c>
      <c r="R14" s="131">
        <v>34112.25</v>
      </c>
      <c r="S14" s="149">
        <f>R14*100/'Pri Sec_outstanding_6'!R14</f>
        <v>12.241486968036432</v>
      </c>
      <c r="T14" s="145">
        <f>D14*100/'Pri Sec_outstanding_6'!R14</f>
        <v>6.212566523481937</v>
      </c>
    </row>
    <row r="15" spans="1:20" ht="15" customHeight="1">
      <c r="A15" s="79">
        <v>10</v>
      </c>
      <c r="B15" s="130" t="s">
        <v>51</v>
      </c>
      <c r="C15" s="131">
        <v>7321</v>
      </c>
      <c r="D15" s="131">
        <v>10662</v>
      </c>
      <c r="E15" s="131">
        <v>4342</v>
      </c>
      <c r="F15" s="131">
        <v>4216</v>
      </c>
      <c r="G15" s="131">
        <v>83</v>
      </c>
      <c r="H15" s="131">
        <v>79</v>
      </c>
      <c r="I15" s="131">
        <v>2926</v>
      </c>
      <c r="J15" s="131">
        <v>7127</v>
      </c>
      <c r="K15" s="131">
        <v>1665</v>
      </c>
      <c r="L15" s="131">
        <v>10</v>
      </c>
      <c r="M15" s="131">
        <v>1</v>
      </c>
      <c r="N15" s="131">
        <v>0.001</v>
      </c>
      <c r="O15" s="131">
        <f t="shared" si="0"/>
        <v>11042</v>
      </c>
      <c r="P15" s="131">
        <f t="shared" si="1"/>
        <v>12913.000000000007</v>
      </c>
      <c r="Q15" s="131">
        <v>27380</v>
      </c>
      <c r="R15" s="131">
        <v>35007.001000000004</v>
      </c>
      <c r="S15" s="149">
        <f>R15*100/'Pri Sec_outstanding_6'!R15</f>
        <v>19.45903635888628</v>
      </c>
      <c r="T15" s="145">
        <f>D15*100/'Pri Sec_outstanding_6'!R15</f>
        <v>5.926592959461037</v>
      </c>
    </row>
    <row r="16" spans="1:20" ht="15" customHeight="1">
      <c r="A16" s="79">
        <v>11</v>
      </c>
      <c r="B16" s="130" t="s">
        <v>290</v>
      </c>
      <c r="C16" s="131">
        <v>23858</v>
      </c>
      <c r="D16" s="131">
        <v>37215</v>
      </c>
      <c r="E16" s="131">
        <v>14675</v>
      </c>
      <c r="F16" s="131">
        <v>5651</v>
      </c>
      <c r="G16" s="131">
        <v>3258</v>
      </c>
      <c r="H16" s="131">
        <v>4258</v>
      </c>
      <c r="I16" s="131">
        <v>422</v>
      </c>
      <c r="J16" s="131">
        <v>504</v>
      </c>
      <c r="K16" s="131">
        <v>28</v>
      </c>
      <c r="L16" s="131">
        <v>1</v>
      </c>
      <c r="M16" s="131">
        <v>1</v>
      </c>
      <c r="N16" s="131">
        <v>1</v>
      </c>
      <c r="O16" s="131">
        <f t="shared" si="0"/>
        <v>45</v>
      </c>
      <c r="P16" s="131">
        <f t="shared" si="1"/>
        <v>105</v>
      </c>
      <c r="Q16" s="131">
        <v>42287</v>
      </c>
      <c r="R16" s="131">
        <v>47735</v>
      </c>
      <c r="S16" s="149">
        <f>R16*100/'Pri Sec_outstanding_6'!R16</f>
        <v>11.918047971797158</v>
      </c>
      <c r="T16" s="145">
        <f>D16*100/'Pri Sec_outstanding_6'!R16</f>
        <v>9.291508437633418</v>
      </c>
    </row>
    <row r="17" spans="1:20" ht="15" customHeight="1">
      <c r="A17" s="79">
        <v>12</v>
      </c>
      <c r="B17" s="130" t="s">
        <v>64</v>
      </c>
      <c r="C17" s="131">
        <v>689</v>
      </c>
      <c r="D17" s="131">
        <v>982.45</v>
      </c>
      <c r="E17" s="131">
        <v>1027</v>
      </c>
      <c r="F17" s="131">
        <v>1332.15</v>
      </c>
      <c r="G17" s="131">
        <v>525</v>
      </c>
      <c r="H17" s="131">
        <v>713.58</v>
      </c>
      <c r="I17" s="131">
        <v>15</v>
      </c>
      <c r="J17" s="131">
        <v>54.28</v>
      </c>
      <c r="K17" s="131">
        <v>1731</v>
      </c>
      <c r="L17" s="131">
        <v>34.28</v>
      </c>
      <c r="M17" s="131">
        <v>512</v>
      </c>
      <c r="N17" s="131">
        <v>101.54</v>
      </c>
      <c r="O17" s="131">
        <f t="shared" si="0"/>
        <v>0</v>
      </c>
      <c r="P17" s="131">
        <f t="shared" si="1"/>
        <v>0</v>
      </c>
      <c r="Q17" s="131">
        <v>4499</v>
      </c>
      <c r="R17" s="131">
        <v>3218.2800000000007</v>
      </c>
      <c r="S17" s="149">
        <f>R17*100/'Pri Sec_outstanding_6'!R17</f>
        <v>4.618331285783393</v>
      </c>
      <c r="T17" s="145">
        <f>D17*100/'Pri Sec_outstanding_6'!R17</f>
        <v>1.4098461202001982</v>
      </c>
    </row>
    <row r="18" spans="1:20" ht="15" customHeight="1">
      <c r="A18" s="79">
        <v>13</v>
      </c>
      <c r="B18" s="130" t="s">
        <v>65</v>
      </c>
      <c r="C18" s="131">
        <v>2237</v>
      </c>
      <c r="D18" s="131">
        <v>4037</v>
      </c>
      <c r="E18" s="131">
        <v>554</v>
      </c>
      <c r="F18" s="131">
        <v>701</v>
      </c>
      <c r="G18" s="131">
        <v>0</v>
      </c>
      <c r="H18" s="131">
        <v>0</v>
      </c>
      <c r="I18" s="131">
        <v>581</v>
      </c>
      <c r="J18" s="131">
        <v>1054.4379999999999</v>
      </c>
      <c r="K18" s="131">
        <v>58</v>
      </c>
      <c r="L18" s="131">
        <v>1.33</v>
      </c>
      <c r="M18" s="131">
        <v>85</v>
      </c>
      <c r="N18" s="131">
        <v>10</v>
      </c>
      <c r="O18" s="131">
        <f t="shared" si="0"/>
        <v>0</v>
      </c>
      <c r="P18" s="131">
        <f t="shared" si="1"/>
        <v>10.510000000000218</v>
      </c>
      <c r="Q18" s="131">
        <v>3515</v>
      </c>
      <c r="R18" s="131">
        <v>5814.278</v>
      </c>
      <c r="S18" s="149">
        <f>R18*100/'Pri Sec_outstanding_6'!R18</f>
        <v>6.121968117590078</v>
      </c>
      <c r="T18" s="145">
        <f>D18*100/'Pri Sec_outstanding_6'!R18</f>
        <v>4.250637016446606</v>
      </c>
    </row>
    <row r="19" spans="1:20" ht="15" customHeight="1">
      <c r="A19" s="79">
        <v>14</v>
      </c>
      <c r="B19" s="134" t="s">
        <v>316</v>
      </c>
      <c r="C19" s="131">
        <v>8703</v>
      </c>
      <c r="D19" s="131">
        <v>17369.49</v>
      </c>
      <c r="E19" s="131">
        <v>4988</v>
      </c>
      <c r="F19" s="131">
        <v>8941.24</v>
      </c>
      <c r="G19" s="131">
        <v>51</v>
      </c>
      <c r="H19" s="131">
        <v>55.22</v>
      </c>
      <c r="I19" s="131">
        <v>2100</v>
      </c>
      <c r="J19" s="131">
        <v>4842.76</v>
      </c>
      <c r="K19" s="131">
        <v>335</v>
      </c>
      <c r="L19" s="131">
        <v>2.7</v>
      </c>
      <c r="M19" s="131">
        <v>18</v>
      </c>
      <c r="N19" s="131">
        <v>21.47</v>
      </c>
      <c r="O19" s="131">
        <f t="shared" si="0"/>
        <v>0</v>
      </c>
      <c r="P19" s="131">
        <f t="shared" si="1"/>
        <v>0</v>
      </c>
      <c r="Q19" s="131">
        <v>16195</v>
      </c>
      <c r="R19" s="131">
        <v>31232.88000000001</v>
      </c>
      <c r="S19" s="149">
        <f>R19*100/'Pri Sec_outstanding_6'!R19</f>
        <v>14.663392785881628</v>
      </c>
      <c r="T19" s="145">
        <f>D19*100/'Pri Sec_outstanding_6'!R19</f>
        <v>8.154728425955053</v>
      </c>
    </row>
    <row r="20" spans="1:20" ht="15" customHeight="1">
      <c r="A20" s="79">
        <v>15</v>
      </c>
      <c r="B20" s="130" t="s">
        <v>292</v>
      </c>
      <c r="C20" s="131">
        <v>9575</v>
      </c>
      <c r="D20" s="131">
        <v>5030</v>
      </c>
      <c r="E20" s="131">
        <v>415</v>
      </c>
      <c r="F20" s="131">
        <v>448</v>
      </c>
      <c r="G20" s="131">
        <v>22</v>
      </c>
      <c r="H20" s="131">
        <v>22.08</v>
      </c>
      <c r="I20" s="131">
        <v>2961</v>
      </c>
      <c r="J20" s="131">
        <f>9421-256</f>
        <v>9165</v>
      </c>
      <c r="K20" s="131">
        <v>2263</v>
      </c>
      <c r="L20" s="131">
        <v>3.62</v>
      </c>
      <c r="M20" s="131">
        <v>25</v>
      </c>
      <c r="N20" s="131">
        <v>192</v>
      </c>
      <c r="O20" s="131">
        <f t="shared" si="0"/>
        <v>1032</v>
      </c>
      <c r="P20" s="131">
        <f t="shared" si="1"/>
        <v>-0.4599999999991269</v>
      </c>
      <c r="Q20" s="131">
        <v>16293</v>
      </c>
      <c r="R20" s="131">
        <v>14860.240000000002</v>
      </c>
      <c r="S20" s="149">
        <f>R20*100/'Pri Sec_outstanding_6'!R20</f>
        <v>23.37728695706892</v>
      </c>
      <c r="T20" s="145">
        <f>D20*100/'Pri Sec_outstanding_6'!R20</f>
        <v>7.912910787043592</v>
      </c>
    </row>
    <row r="21" spans="1:20" ht="15" customHeight="1">
      <c r="A21" s="79">
        <v>16</v>
      </c>
      <c r="B21" s="130" t="s">
        <v>66</v>
      </c>
      <c r="C21" s="131">
        <v>109507</v>
      </c>
      <c r="D21" s="131">
        <v>115337</v>
      </c>
      <c r="E21" s="131">
        <v>27276</v>
      </c>
      <c r="F21" s="131">
        <v>29863</v>
      </c>
      <c r="G21" s="131">
        <v>2875</v>
      </c>
      <c r="H21" s="131">
        <v>2577</v>
      </c>
      <c r="I21" s="131">
        <v>9447</v>
      </c>
      <c r="J21" s="131">
        <v>38280</v>
      </c>
      <c r="K21" s="131">
        <v>649</v>
      </c>
      <c r="L21" s="131">
        <v>6</v>
      </c>
      <c r="M21" s="131">
        <v>504</v>
      </c>
      <c r="N21" s="131">
        <v>48</v>
      </c>
      <c r="O21" s="131">
        <f t="shared" si="0"/>
        <v>4547</v>
      </c>
      <c r="P21" s="131">
        <f t="shared" si="1"/>
        <v>18573</v>
      </c>
      <c r="Q21" s="131">
        <v>154805</v>
      </c>
      <c r="R21" s="131">
        <v>204684</v>
      </c>
      <c r="S21" s="149">
        <f>R21*100/'Pri Sec_outstanding_6'!R21</f>
        <v>15.745528674179775</v>
      </c>
      <c r="T21" s="145">
        <f>D21*100/'Pri Sec_outstanding_6'!R21</f>
        <v>8.872418169929613</v>
      </c>
    </row>
    <row r="22" spans="1:20" ht="15" customHeight="1">
      <c r="A22" s="79">
        <v>17</v>
      </c>
      <c r="B22" s="135" t="s">
        <v>67</v>
      </c>
      <c r="C22" s="131">
        <v>5693</v>
      </c>
      <c r="D22" s="131">
        <v>7160</v>
      </c>
      <c r="E22" s="131">
        <v>871</v>
      </c>
      <c r="F22" s="131">
        <v>1008</v>
      </c>
      <c r="G22" s="131">
        <v>109</v>
      </c>
      <c r="H22" s="131">
        <v>81</v>
      </c>
      <c r="I22" s="131">
        <v>953</v>
      </c>
      <c r="J22" s="131">
        <v>13176</v>
      </c>
      <c r="K22" s="131">
        <v>468</v>
      </c>
      <c r="L22" s="131">
        <v>7</v>
      </c>
      <c r="M22" s="131">
        <v>4</v>
      </c>
      <c r="N22" s="131">
        <v>1</v>
      </c>
      <c r="O22" s="131">
        <f t="shared" si="0"/>
        <v>99</v>
      </c>
      <c r="P22" s="131">
        <f t="shared" si="1"/>
        <v>38</v>
      </c>
      <c r="Q22" s="131">
        <v>8197</v>
      </c>
      <c r="R22" s="131">
        <v>21471</v>
      </c>
      <c r="S22" s="149">
        <f>R22*100/'Pri Sec_outstanding_6'!R22</f>
        <v>15.38015214681738</v>
      </c>
      <c r="T22" s="145">
        <f>D22*100/'Pri Sec_outstanding_6'!R22</f>
        <v>5.128866348619647</v>
      </c>
    </row>
    <row r="23" spans="1:20" ht="15" customHeight="1">
      <c r="A23" s="79">
        <v>18</v>
      </c>
      <c r="B23" s="130" t="s">
        <v>253</v>
      </c>
      <c r="C23" s="131">
        <v>31250</v>
      </c>
      <c r="D23" s="131">
        <v>15020</v>
      </c>
      <c r="E23" s="131">
        <v>22650</v>
      </c>
      <c r="F23" s="131">
        <v>23720</v>
      </c>
      <c r="G23" s="131">
        <v>925</v>
      </c>
      <c r="H23" s="131">
        <v>4025</v>
      </c>
      <c r="I23" s="131">
        <v>24865</v>
      </c>
      <c r="J23" s="131">
        <v>19802</v>
      </c>
      <c r="K23" s="131">
        <v>222</v>
      </c>
      <c r="L23" s="131">
        <v>9</v>
      </c>
      <c r="M23" s="131">
        <v>875</v>
      </c>
      <c r="N23" s="131">
        <v>96</v>
      </c>
      <c r="O23" s="131">
        <f t="shared" si="0"/>
        <v>5660</v>
      </c>
      <c r="P23" s="131">
        <f t="shared" si="1"/>
        <v>10450</v>
      </c>
      <c r="Q23" s="131">
        <v>86447</v>
      </c>
      <c r="R23" s="131">
        <v>73122</v>
      </c>
      <c r="S23" s="149">
        <f>R23*100/'Pri Sec_outstanding_6'!R23</f>
        <v>16.553663235437273</v>
      </c>
      <c r="T23" s="145">
        <f>D23*100/'Pri Sec_outstanding_6'!R23</f>
        <v>3.4002902245051807</v>
      </c>
    </row>
    <row r="24" spans="1:20" ht="15" customHeight="1">
      <c r="A24" s="79">
        <v>19</v>
      </c>
      <c r="B24" s="136" t="s">
        <v>68</v>
      </c>
      <c r="C24" s="131">
        <v>77141</v>
      </c>
      <c r="D24" s="131">
        <v>117742.04</v>
      </c>
      <c r="E24" s="131">
        <v>35201</v>
      </c>
      <c r="F24" s="131">
        <v>36242.4</v>
      </c>
      <c r="G24" s="131">
        <v>4084</v>
      </c>
      <c r="H24" s="131">
        <v>2874.4</v>
      </c>
      <c r="I24" s="131">
        <v>10570</v>
      </c>
      <c r="J24" s="131">
        <v>37701.220910000004</v>
      </c>
      <c r="K24" s="131">
        <v>3473</v>
      </c>
      <c r="L24" s="131">
        <v>15.99</v>
      </c>
      <c r="M24" s="131">
        <v>361</v>
      </c>
      <c r="N24" s="131">
        <v>48.42</v>
      </c>
      <c r="O24" s="131">
        <v>15416</v>
      </c>
      <c r="P24" s="131">
        <v>7242.787318999966</v>
      </c>
      <c r="Q24" s="131">
        <v>94115</v>
      </c>
      <c r="R24" s="131">
        <v>145486.02</v>
      </c>
      <c r="S24" s="149">
        <f>R24*100/'Pri Sec_outstanding_6'!R24</f>
        <v>18.845843724263396</v>
      </c>
      <c r="T24" s="145">
        <f>D24*100/'Pri Sec_outstanding_6'!R24</f>
        <v>15.251967753437548</v>
      </c>
    </row>
    <row r="25" spans="1:20" ht="15" customHeight="1">
      <c r="A25" s="79">
        <v>20</v>
      </c>
      <c r="B25" s="130" t="s">
        <v>69</v>
      </c>
      <c r="C25" s="131">
        <v>19</v>
      </c>
      <c r="D25" s="131">
        <v>59</v>
      </c>
      <c r="E25" s="131">
        <v>239</v>
      </c>
      <c r="F25" s="131">
        <v>2386</v>
      </c>
      <c r="G25" s="131">
        <v>0</v>
      </c>
      <c r="H25" s="131">
        <v>0</v>
      </c>
      <c r="I25" s="131">
        <v>147</v>
      </c>
      <c r="J25" s="131">
        <v>530</v>
      </c>
      <c r="K25" s="131">
        <v>0</v>
      </c>
      <c r="L25" s="131">
        <v>0</v>
      </c>
      <c r="M25" s="131">
        <v>1</v>
      </c>
      <c r="N25" s="131">
        <v>0.04</v>
      </c>
      <c r="O25" s="131">
        <f t="shared" si="0"/>
        <v>31</v>
      </c>
      <c r="P25" s="131">
        <f t="shared" si="1"/>
        <v>248</v>
      </c>
      <c r="Q25" s="131">
        <v>437</v>
      </c>
      <c r="R25" s="131">
        <v>3223.04</v>
      </c>
      <c r="S25" s="149">
        <f>R25*100/'Pri Sec_outstanding_6'!R25</f>
        <v>9.80899628705338</v>
      </c>
      <c r="T25" s="145">
        <f>D25*100/'Pri Sec_outstanding_6'!R25</f>
        <v>0.17956053320348164</v>
      </c>
    </row>
    <row r="26" spans="1:20" ht="15" customHeight="1">
      <c r="A26" s="79">
        <v>21</v>
      </c>
      <c r="B26" s="130" t="s">
        <v>52</v>
      </c>
      <c r="C26" s="131">
        <v>6406</v>
      </c>
      <c r="D26" s="131">
        <v>10226</v>
      </c>
      <c r="E26" s="131">
        <v>488</v>
      </c>
      <c r="F26" s="131">
        <v>941.01</v>
      </c>
      <c r="G26" s="131">
        <v>27</v>
      </c>
      <c r="H26" s="131">
        <v>15.43</v>
      </c>
      <c r="I26" s="131">
        <v>1900</v>
      </c>
      <c r="J26" s="131">
        <v>7082.59</v>
      </c>
      <c r="K26" s="131">
        <v>81</v>
      </c>
      <c r="L26" s="131">
        <v>0.26</v>
      </c>
      <c r="M26" s="131">
        <v>22</v>
      </c>
      <c r="N26" s="131">
        <v>3.09</v>
      </c>
      <c r="O26" s="131">
        <f t="shared" si="0"/>
        <v>523</v>
      </c>
      <c r="P26" s="131">
        <f t="shared" si="1"/>
        <v>1324.9999999999982</v>
      </c>
      <c r="Q26" s="131">
        <v>9447</v>
      </c>
      <c r="R26" s="131">
        <v>19593.379999999997</v>
      </c>
      <c r="S26" s="149">
        <f>R26*100/'Pri Sec_outstanding_6'!R26</f>
        <v>27.207737384397475</v>
      </c>
      <c r="T26" s="145">
        <f>D26*100/'Pri Sec_outstanding_6'!R26</f>
        <v>14.200016663426556</v>
      </c>
    </row>
    <row r="27" spans="1:20" ht="15" customHeight="1">
      <c r="A27" s="81"/>
      <c r="B27" s="137" t="s">
        <v>293</v>
      </c>
      <c r="C27" s="138">
        <f>SUM(C6:C26)</f>
        <v>808217</v>
      </c>
      <c r="D27" s="138">
        <f aca="true" t="shared" si="2" ref="D27:R27">SUM(D6:D26)</f>
        <v>1145659.98</v>
      </c>
      <c r="E27" s="138">
        <f t="shared" si="2"/>
        <v>371865</v>
      </c>
      <c r="F27" s="138">
        <f t="shared" si="2"/>
        <v>437783.01000000007</v>
      </c>
      <c r="G27" s="138">
        <f t="shared" si="2"/>
        <v>24375</v>
      </c>
      <c r="H27" s="138">
        <f t="shared" si="2"/>
        <v>22938.75</v>
      </c>
      <c r="I27" s="138">
        <f t="shared" si="2"/>
        <v>233256</v>
      </c>
      <c r="J27" s="138">
        <f t="shared" si="2"/>
        <v>340138.2862283</v>
      </c>
      <c r="K27" s="138">
        <f t="shared" si="2"/>
        <v>62551</v>
      </c>
      <c r="L27" s="138">
        <f t="shared" si="2"/>
        <v>975.9720000000001</v>
      </c>
      <c r="M27" s="138">
        <f t="shared" si="2"/>
        <v>6729</v>
      </c>
      <c r="N27" s="138">
        <f t="shared" si="2"/>
        <v>1313.0283858999999</v>
      </c>
      <c r="O27" s="138">
        <f>SUM(O6:O26)</f>
        <v>45166</v>
      </c>
      <c r="P27" s="138">
        <f>SUM(P6:P26)</f>
        <v>204797.72631899995</v>
      </c>
      <c r="Q27" s="138">
        <f t="shared" si="2"/>
        <v>1083028</v>
      </c>
      <c r="R27" s="138">
        <f t="shared" si="2"/>
        <v>2097225.5147042</v>
      </c>
      <c r="S27" s="150">
        <f>R27*100/'Pri Sec_outstanding_6'!R27</f>
        <v>22.647897801084017</v>
      </c>
      <c r="T27" s="145">
        <f>D27*100/'Pri Sec_outstanding_6'!R27</f>
        <v>12.371959982325308</v>
      </c>
    </row>
    <row r="28" spans="1:20" ht="15" customHeight="1">
      <c r="A28" s="79">
        <v>22</v>
      </c>
      <c r="B28" s="130" t="s">
        <v>294</v>
      </c>
      <c r="C28" s="131">
        <v>0</v>
      </c>
      <c r="D28" s="131">
        <v>0</v>
      </c>
      <c r="E28" s="131">
        <v>68</v>
      </c>
      <c r="F28" s="131">
        <v>102.9</v>
      </c>
      <c r="G28" s="131">
        <v>0</v>
      </c>
      <c r="H28" s="131">
        <v>0</v>
      </c>
      <c r="I28" s="131">
        <v>97</v>
      </c>
      <c r="J28" s="131">
        <v>619.14</v>
      </c>
      <c r="K28" s="131">
        <v>0</v>
      </c>
      <c r="L28" s="131">
        <v>0</v>
      </c>
      <c r="M28" s="131">
        <v>0</v>
      </c>
      <c r="N28" s="131">
        <v>0</v>
      </c>
      <c r="O28" s="131">
        <f t="shared" si="0"/>
        <v>42</v>
      </c>
      <c r="P28" s="131">
        <f t="shared" si="1"/>
        <v>31.859999999999985</v>
      </c>
      <c r="Q28" s="131">
        <v>207</v>
      </c>
      <c r="R28" s="131">
        <v>753.9</v>
      </c>
      <c r="S28" s="149">
        <f>R28*100/'Pri Sec_outstanding_6'!R28</f>
        <v>2.1658191846936137</v>
      </c>
      <c r="T28" s="145">
        <f>D28*100/'Pri Sec_outstanding_6'!R28</f>
        <v>0</v>
      </c>
    </row>
    <row r="29" spans="1:20" ht="15" customHeight="1">
      <c r="A29" s="79">
        <v>23</v>
      </c>
      <c r="B29" s="130" t="s">
        <v>295</v>
      </c>
      <c r="C29" s="131">
        <v>0</v>
      </c>
      <c r="D29" s="131">
        <v>0</v>
      </c>
      <c r="E29" s="131">
        <v>2</v>
      </c>
      <c r="F29" s="131">
        <v>2</v>
      </c>
      <c r="G29" s="131">
        <v>0</v>
      </c>
      <c r="H29" s="131">
        <v>0</v>
      </c>
      <c r="I29" s="131">
        <v>10</v>
      </c>
      <c r="J29" s="131">
        <v>65.72</v>
      </c>
      <c r="K29" s="131">
        <v>0</v>
      </c>
      <c r="L29" s="131"/>
      <c r="M29" s="131">
        <v>0</v>
      </c>
      <c r="N29" s="131">
        <v>0</v>
      </c>
      <c r="O29" s="131">
        <v>9</v>
      </c>
      <c r="P29" s="131">
        <v>58.06</v>
      </c>
      <c r="Q29" s="131">
        <v>68</v>
      </c>
      <c r="R29" s="131">
        <v>21</v>
      </c>
      <c r="S29" s="149">
        <f>R29*100/'Pri Sec_outstanding_6'!R29</f>
        <v>0.03434178250204415</v>
      </c>
      <c r="T29" s="145">
        <f>D29*100/'Pri Sec_outstanding_6'!R29</f>
        <v>0</v>
      </c>
    </row>
    <row r="30" spans="1:20" ht="15" customHeight="1">
      <c r="A30" s="79">
        <v>24</v>
      </c>
      <c r="B30" s="130" t="s">
        <v>296</v>
      </c>
      <c r="C30" s="131">
        <v>0</v>
      </c>
      <c r="D30" s="131">
        <v>0</v>
      </c>
      <c r="E30" s="131">
        <v>78</v>
      </c>
      <c r="F30" s="131">
        <v>467.11</v>
      </c>
      <c r="G30" s="131">
        <v>0</v>
      </c>
      <c r="H30" s="131">
        <v>0</v>
      </c>
      <c r="I30" s="131">
        <v>85</v>
      </c>
      <c r="J30" s="131">
        <v>360.34</v>
      </c>
      <c r="K30" s="131">
        <v>4</v>
      </c>
      <c r="L30" s="131">
        <v>0.08</v>
      </c>
      <c r="M30" s="131">
        <v>0</v>
      </c>
      <c r="N30" s="131">
        <v>0</v>
      </c>
      <c r="O30" s="131">
        <f t="shared" si="0"/>
        <v>30</v>
      </c>
      <c r="P30" s="131">
        <f t="shared" si="1"/>
        <v>56.85000000000002</v>
      </c>
      <c r="Q30" s="131">
        <v>197</v>
      </c>
      <c r="R30" s="131">
        <v>884.38</v>
      </c>
      <c r="S30" s="149">
        <f>R30*100/'Pri Sec_outstanding_6'!R30</f>
        <v>0.9114312804023414</v>
      </c>
      <c r="T30" s="145">
        <f>D30*100/'Pri Sec_outstanding_6'!R30</f>
        <v>0</v>
      </c>
    </row>
    <row r="31" spans="1:20" ht="15" customHeight="1">
      <c r="A31" s="79">
        <v>25</v>
      </c>
      <c r="B31" s="133" t="s">
        <v>297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f t="shared" si="0"/>
        <v>0</v>
      </c>
      <c r="P31" s="131">
        <f t="shared" si="1"/>
        <v>0</v>
      </c>
      <c r="Q31" s="131">
        <v>0</v>
      </c>
      <c r="R31" s="131">
        <v>0</v>
      </c>
      <c r="S31" s="149">
        <f>R31*100/'Pri Sec_outstanding_6'!R31</f>
        <v>0</v>
      </c>
      <c r="T31" s="145">
        <f>D31*100/'Pri Sec_outstanding_6'!R31</f>
        <v>0</v>
      </c>
    </row>
    <row r="32" spans="1:20" ht="15" customHeight="1">
      <c r="A32" s="79">
        <v>26</v>
      </c>
      <c r="B32" s="130" t="s">
        <v>298</v>
      </c>
      <c r="C32" s="131">
        <v>186</v>
      </c>
      <c r="D32" s="131">
        <v>113.05</v>
      </c>
      <c r="E32" s="131">
        <v>224</v>
      </c>
      <c r="F32" s="131">
        <v>335.8</v>
      </c>
      <c r="G32" s="131">
        <v>1</v>
      </c>
      <c r="H32" s="131">
        <v>0.5</v>
      </c>
      <c r="I32" s="131">
        <v>126</v>
      </c>
      <c r="J32" s="131">
        <v>107.83</v>
      </c>
      <c r="K32" s="131">
        <v>0</v>
      </c>
      <c r="L32" s="131">
        <v>0</v>
      </c>
      <c r="M32" s="131">
        <v>139</v>
      </c>
      <c r="N32" s="131">
        <v>11.96</v>
      </c>
      <c r="O32" s="131">
        <f>Q32-M32-K32-I32-G32-E32-C32</f>
        <v>480</v>
      </c>
      <c r="P32" s="131">
        <f>R32-N32-L32-J32-H32-F32-D32</f>
        <v>378.80999999999995</v>
      </c>
      <c r="Q32" s="131">
        <v>1156</v>
      </c>
      <c r="R32" s="131">
        <v>947.95</v>
      </c>
      <c r="S32" s="149">
        <f>R32*100/'Pri Sec_outstanding_6'!R32</f>
        <v>1.1593591389959028</v>
      </c>
      <c r="T32" s="145">
        <f>D32*100/'Pri Sec_outstanding_6'!R32</f>
        <v>0.13826209258240077</v>
      </c>
    </row>
    <row r="33" spans="1:20" ht="15" customHeight="1">
      <c r="A33" s="79">
        <v>27</v>
      </c>
      <c r="B33" s="130" t="s">
        <v>72</v>
      </c>
      <c r="C33" s="131">
        <v>539012</v>
      </c>
      <c r="D33" s="131">
        <v>519119</v>
      </c>
      <c r="E33" s="131">
        <v>93896</v>
      </c>
      <c r="F33" s="131">
        <v>180289</v>
      </c>
      <c r="G33" s="131">
        <v>4848</v>
      </c>
      <c r="H33" s="131">
        <v>3591</v>
      </c>
      <c r="I33" s="131">
        <v>107300</v>
      </c>
      <c r="J33" s="131">
        <v>177866</v>
      </c>
      <c r="K33" s="131">
        <v>113182</v>
      </c>
      <c r="L33" s="131">
        <v>65591</v>
      </c>
      <c r="M33" s="131">
        <v>438</v>
      </c>
      <c r="N33" s="131">
        <v>47</v>
      </c>
      <c r="O33" s="131">
        <f t="shared" si="0"/>
        <v>22502</v>
      </c>
      <c r="P33" s="131">
        <f t="shared" si="1"/>
        <v>5772</v>
      </c>
      <c r="Q33" s="131">
        <v>881178</v>
      </c>
      <c r="R33" s="131">
        <v>952275</v>
      </c>
      <c r="S33" s="149">
        <f>R33*100/'Pri Sec_outstanding_6'!R33</f>
        <v>16.8831769785642</v>
      </c>
      <c r="T33" s="145">
        <f>D33*100/'Pri Sec_outstanding_6'!R33</f>
        <v>9.203620750240498</v>
      </c>
    </row>
    <row r="34" spans="1:20" ht="15" customHeight="1">
      <c r="A34" s="81"/>
      <c r="B34" s="137" t="s">
        <v>299</v>
      </c>
      <c r="C34" s="138">
        <f>SUM(C28:C33)</f>
        <v>539198</v>
      </c>
      <c r="D34" s="138">
        <f aca="true" t="shared" si="3" ref="D34:R34">SUM(D28:D33)</f>
        <v>519232.05</v>
      </c>
      <c r="E34" s="138">
        <f t="shared" si="3"/>
        <v>94268</v>
      </c>
      <c r="F34" s="138">
        <f t="shared" si="3"/>
        <v>181196.81</v>
      </c>
      <c r="G34" s="138">
        <f t="shared" si="3"/>
        <v>4849</v>
      </c>
      <c r="H34" s="138">
        <f t="shared" si="3"/>
        <v>3591.5</v>
      </c>
      <c r="I34" s="138">
        <f t="shared" si="3"/>
        <v>107618</v>
      </c>
      <c r="J34" s="138">
        <f t="shared" si="3"/>
        <v>179019.03</v>
      </c>
      <c r="K34" s="138">
        <f t="shared" si="3"/>
        <v>113186</v>
      </c>
      <c r="L34" s="138">
        <f t="shared" si="3"/>
        <v>65591.08</v>
      </c>
      <c r="M34" s="138">
        <f t="shared" si="3"/>
        <v>577</v>
      </c>
      <c r="N34" s="138">
        <f t="shared" si="3"/>
        <v>58.96</v>
      </c>
      <c r="O34" s="138">
        <f>SUM(O28:O33)</f>
        <v>23063</v>
      </c>
      <c r="P34" s="138">
        <f>SUM(P28:P33)</f>
        <v>6297.58</v>
      </c>
      <c r="Q34" s="138">
        <f t="shared" si="3"/>
        <v>882806</v>
      </c>
      <c r="R34" s="138">
        <f t="shared" si="3"/>
        <v>954882.23</v>
      </c>
      <c r="S34" s="150">
        <f>R34*100/'Pri Sec_outstanding_6'!R34</f>
        <v>16.121458856254993</v>
      </c>
      <c r="T34" s="145">
        <f>D34*100/'Pri Sec_outstanding_6'!R34</f>
        <v>8.76629375637657</v>
      </c>
    </row>
    <row r="35" spans="1:20" ht="15" customHeight="1">
      <c r="A35" s="79">
        <v>28</v>
      </c>
      <c r="B35" s="130" t="s">
        <v>49</v>
      </c>
      <c r="C35" s="131">
        <v>29526</v>
      </c>
      <c r="D35" s="131">
        <v>17904.63</v>
      </c>
      <c r="E35" s="131">
        <v>3773</v>
      </c>
      <c r="F35" s="131">
        <v>3019.2</v>
      </c>
      <c r="G35" s="131">
        <v>6</v>
      </c>
      <c r="H35" s="131">
        <v>125.71</v>
      </c>
      <c r="I35" s="131">
        <v>2347</v>
      </c>
      <c r="J35" s="131">
        <v>6569.56</v>
      </c>
      <c r="K35" s="131">
        <v>0</v>
      </c>
      <c r="L35" s="131">
        <v>0</v>
      </c>
      <c r="M35" s="131">
        <v>0</v>
      </c>
      <c r="N35" s="131">
        <v>0</v>
      </c>
      <c r="O35" s="131">
        <f t="shared" si="0"/>
        <v>14</v>
      </c>
      <c r="P35" s="131">
        <f t="shared" si="1"/>
        <v>456.97999999999956</v>
      </c>
      <c r="Q35" s="131">
        <v>35666</v>
      </c>
      <c r="R35" s="131">
        <v>28076.08</v>
      </c>
      <c r="S35" s="149">
        <f>R35*100/'Pri Sec_outstanding_6'!R35</f>
        <v>4.90864587777024</v>
      </c>
      <c r="T35" s="145">
        <f>D35*100/'Pri Sec_outstanding_6'!R35</f>
        <v>3.1303333030288196</v>
      </c>
    </row>
    <row r="36" spans="1:20" ht="15" customHeight="1">
      <c r="A36" s="79">
        <v>29</v>
      </c>
      <c r="B36" s="130" t="s">
        <v>53</v>
      </c>
      <c r="C36" s="131">
        <v>1</v>
      </c>
      <c r="D36" s="131">
        <v>2.18351</v>
      </c>
      <c r="E36" s="131">
        <v>1</v>
      </c>
      <c r="F36" s="131">
        <v>1</v>
      </c>
      <c r="G36" s="131">
        <v>0</v>
      </c>
      <c r="H36" s="131">
        <v>0</v>
      </c>
      <c r="I36" s="131">
        <v>3</v>
      </c>
      <c r="J36" s="131">
        <v>33.43603</v>
      </c>
      <c r="K36" s="131">
        <v>0</v>
      </c>
      <c r="L36" s="131">
        <v>0</v>
      </c>
      <c r="M36" s="131">
        <v>0</v>
      </c>
      <c r="N36" s="131">
        <v>0</v>
      </c>
      <c r="O36" s="131">
        <f t="shared" si="0"/>
        <v>8</v>
      </c>
      <c r="P36" s="131">
        <f t="shared" si="1"/>
        <v>1.989969399999998</v>
      </c>
      <c r="Q36" s="131">
        <v>13</v>
      </c>
      <c r="R36" s="131">
        <v>38.6095094</v>
      </c>
      <c r="S36" s="149">
        <f>R36*100/'Pri Sec_outstanding_6'!R36</f>
        <v>0.44388950793285814</v>
      </c>
      <c r="T36" s="145">
        <f>D36*100/'Pri Sec_outstanding_6'!R36</f>
        <v>0.025103587031501496</v>
      </c>
    </row>
    <row r="37" spans="1:20" ht="15" customHeight="1">
      <c r="A37" s="79">
        <v>30</v>
      </c>
      <c r="B37" s="130" t="s">
        <v>300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f t="shared" si="0"/>
        <v>0</v>
      </c>
      <c r="P37" s="131">
        <f t="shared" si="1"/>
        <v>0</v>
      </c>
      <c r="Q37" s="131">
        <v>0</v>
      </c>
      <c r="R37" s="131">
        <v>0</v>
      </c>
      <c r="S37" s="149">
        <f>R37*100/'Pri Sec_outstanding_6'!R37</f>
        <v>0</v>
      </c>
      <c r="T37" s="145">
        <f>D37*100/'Pri Sec_outstanding_6'!R37</f>
        <v>0</v>
      </c>
    </row>
    <row r="38" spans="1:20" ht="15" customHeight="1">
      <c r="A38" s="79">
        <v>31</v>
      </c>
      <c r="B38" s="130" t="s">
        <v>301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7</v>
      </c>
      <c r="J38" s="131">
        <v>4.27</v>
      </c>
      <c r="K38" s="131">
        <v>0</v>
      </c>
      <c r="L38" s="131">
        <v>0</v>
      </c>
      <c r="M38" s="131">
        <v>0</v>
      </c>
      <c r="N38" s="131">
        <v>0</v>
      </c>
      <c r="O38" s="131">
        <f t="shared" si="0"/>
        <v>0</v>
      </c>
      <c r="P38" s="131">
        <f t="shared" si="1"/>
        <v>0</v>
      </c>
      <c r="Q38" s="131">
        <v>7</v>
      </c>
      <c r="R38" s="131">
        <v>4.27</v>
      </c>
      <c r="S38" s="149">
        <f>R38*100/'Pri Sec_outstanding_6'!R38</f>
        <v>15.249999999999998</v>
      </c>
      <c r="T38" s="145">
        <f>D38*100/'Pri Sec_outstanding_6'!R38</f>
        <v>0</v>
      </c>
    </row>
    <row r="39" spans="1:20" ht="15" customHeight="1">
      <c r="A39" s="79">
        <v>32</v>
      </c>
      <c r="B39" s="130" t="s">
        <v>302</v>
      </c>
      <c r="C39" s="131">
        <v>0</v>
      </c>
      <c r="D39" s="131">
        <v>0</v>
      </c>
      <c r="E39" s="131">
        <v>35</v>
      </c>
      <c r="F39" s="131">
        <v>26.77</v>
      </c>
      <c r="G39" s="131">
        <v>0</v>
      </c>
      <c r="H39" s="131">
        <v>0</v>
      </c>
      <c r="I39" s="131">
        <v>143</v>
      </c>
      <c r="J39" s="131">
        <v>729.65</v>
      </c>
      <c r="K39" s="131">
        <v>0</v>
      </c>
      <c r="L39" s="131">
        <v>0</v>
      </c>
      <c r="M39" s="131">
        <v>0</v>
      </c>
      <c r="N39" s="131">
        <v>0</v>
      </c>
      <c r="O39" s="131">
        <f t="shared" si="0"/>
        <v>0</v>
      </c>
      <c r="P39" s="131">
        <f t="shared" si="1"/>
        <v>-1.7763568394002505E-14</v>
      </c>
      <c r="Q39" s="131">
        <v>178</v>
      </c>
      <c r="R39" s="131">
        <v>756.42</v>
      </c>
      <c r="S39" s="149">
        <f>R39*100/'Pri Sec_outstanding_6'!R39</f>
        <v>4.957205583590013</v>
      </c>
      <c r="T39" s="145">
        <f>D39*100/'Pri Sec_outstanding_6'!R39</f>
        <v>0</v>
      </c>
    </row>
    <row r="40" spans="1:20" ht="15" customHeight="1">
      <c r="A40" s="79">
        <v>33</v>
      </c>
      <c r="B40" s="130" t="s">
        <v>303</v>
      </c>
      <c r="C40" s="131">
        <v>41682</v>
      </c>
      <c r="D40" s="131">
        <v>39101.51402630001</v>
      </c>
      <c r="E40" s="131">
        <v>6392</v>
      </c>
      <c r="F40" s="131">
        <v>16744.7719838</v>
      </c>
      <c r="G40" s="131">
        <v>2954</v>
      </c>
      <c r="H40" s="131">
        <v>887.1643605999996</v>
      </c>
      <c r="I40" s="131">
        <v>6948</v>
      </c>
      <c r="J40" s="131">
        <v>16815.41439710001</v>
      </c>
      <c r="K40" s="131">
        <v>0</v>
      </c>
      <c r="L40" s="131">
        <v>0</v>
      </c>
      <c r="M40" s="131">
        <v>0</v>
      </c>
      <c r="N40" s="131">
        <v>0</v>
      </c>
      <c r="O40" s="131">
        <f t="shared" si="0"/>
        <v>98349</v>
      </c>
      <c r="P40" s="131">
        <f t="shared" si="1"/>
        <v>14398.26999999999</v>
      </c>
      <c r="Q40" s="131">
        <v>156325</v>
      </c>
      <c r="R40" s="131">
        <v>87947.13476780002</v>
      </c>
      <c r="S40" s="149">
        <f>R40*100/'Pri Sec_outstanding_6'!R40</f>
        <v>7.843822555965424</v>
      </c>
      <c r="T40" s="145">
        <f>D40*100/'Pri Sec_outstanding_6'!R40</f>
        <v>3.4873829431926433</v>
      </c>
    </row>
    <row r="41" spans="1:20" ht="15" customHeight="1">
      <c r="A41" s="79">
        <v>34</v>
      </c>
      <c r="B41" s="130" t="s">
        <v>304</v>
      </c>
      <c r="C41" s="131">
        <v>0</v>
      </c>
      <c r="D41" s="131">
        <v>0</v>
      </c>
      <c r="E41" s="131">
        <v>21404</v>
      </c>
      <c r="F41" s="131">
        <v>24795.9769189</v>
      </c>
      <c r="G41" s="131">
        <v>6229</v>
      </c>
      <c r="H41" s="131">
        <v>3911.4009753</v>
      </c>
      <c r="I41" s="131">
        <v>8622</v>
      </c>
      <c r="J41" s="131">
        <v>30406.3877007</v>
      </c>
      <c r="K41" s="131">
        <v>0</v>
      </c>
      <c r="L41" s="131">
        <v>0</v>
      </c>
      <c r="M41" s="131">
        <v>0</v>
      </c>
      <c r="N41" s="131">
        <v>0</v>
      </c>
      <c r="O41" s="131">
        <f t="shared" si="0"/>
        <v>40037</v>
      </c>
      <c r="P41" s="131">
        <f t="shared" si="1"/>
        <v>60692.24510190001</v>
      </c>
      <c r="Q41" s="131">
        <v>76292</v>
      </c>
      <c r="R41" s="131">
        <v>119806.0106968</v>
      </c>
      <c r="S41" s="149">
        <f>R41*100/'Pri Sec_outstanding_6'!R41</f>
        <v>11.533090416291225</v>
      </c>
      <c r="T41" s="145">
        <f>D41*100/'Pri Sec_outstanding_6'!R41</f>
        <v>0</v>
      </c>
    </row>
    <row r="42" spans="1:20" ht="15" customHeight="1">
      <c r="A42" s="79">
        <v>35</v>
      </c>
      <c r="B42" s="130" t="s">
        <v>305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f t="shared" si="0"/>
        <v>0</v>
      </c>
      <c r="P42" s="131">
        <f t="shared" si="1"/>
        <v>0</v>
      </c>
      <c r="Q42" s="131">
        <v>0</v>
      </c>
      <c r="R42" s="131">
        <v>0</v>
      </c>
      <c r="S42" s="149">
        <f>R42*100/'Pri Sec_outstanding_6'!R42</f>
        <v>0</v>
      </c>
      <c r="T42" s="145">
        <f>D42*100/'Pri Sec_outstanding_6'!R42</f>
        <v>0</v>
      </c>
    </row>
    <row r="43" spans="1:20" ht="15" customHeight="1">
      <c r="A43" s="79">
        <v>36</v>
      </c>
      <c r="B43" s="130" t="s">
        <v>255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f t="shared" si="0"/>
        <v>189964</v>
      </c>
      <c r="P43" s="131">
        <f t="shared" si="1"/>
        <v>41133</v>
      </c>
      <c r="Q43" s="131">
        <v>189964</v>
      </c>
      <c r="R43" s="131">
        <v>41133</v>
      </c>
      <c r="S43" s="149">
        <f>R43*100/'Pri Sec_outstanding_6'!R43</f>
        <v>99.19214816243851</v>
      </c>
      <c r="T43" s="145">
        <f>D43*100/'Pri Sec_outstanding_6'!R43</f>
        <v>0</v>
      </c>
    </row>
    <row r="44" spans="1:20" ht="15" customHeight="1">
      <c r="A44" s="79">
        <v>37</v>
      </c>
      <c r="B44" s="130" t="s">
        <v>306</v>
      </c>
      <c r="C44" s="131">
        <v>0</v>
      </c>
      <c r="D44" s="131">
        <v>0</v>
      </c>
      <c r="E44" s="131">
        <v>29</v>
      </c>
      <c r="F44" s="131">
        <v>14</v>
      </c>
      <c r="G44" s="131">
        <v>0</v>
      </c>
      <c r="H44" s="131">
        <v>0</v>
      </c>
      <c r="I44" s="131">
        <v>74</v>
      </c>
      <c r="J44" s="131">
        <v>431</v>
      </c>
      <c r="K44" s="131">
        <v>0</v>
      </c>
      <c r="L44" s="131">
        <v>0</v>
      </c>
      <c r="M44" s="131">
        <v>40</v>
      </c>
      <c r="N44" s="131">
        <v>4</v>
      </c>
      <c r="O44" s="131">
        <f t="shared" si="0"/>
        <v>0</v>
      </c>
      <c r="P44" s="131">
        <f t="shared" si="1"/>
        <v>0</v>
      </c>
      <c r="Q44" s="131">
        <v>143</v>
      </c>
      <c r="R44" s="131">
        <v>449</v>
      </c>
      <c r="S44" s="149">
        <f>R44*100/'Pri Sec_outstanding_6'!R44</f>
        <v>29.231770833333332</v>
      </c>
      <c r="T44" s="145">
        <f>D44*100/'Pri Sec_outstanding_6'!R44</f>
        <v>0</v>
      </c>
    </row>
    <row r="45" spans="1:20" ht="15" customHeight="1">
      <c r="A45" s="79">
        <v>38</v>
      </c>
      <c r="B45" s="130" t="s">
        <v>307</v>
      </c>
      <c r="C45" s="131">
        <v>340</v>
      </c>
      <c r="D45" s="131">
        <v>2500</v>
      </c>
      <c r="E45" s="131">
        <v>144</v>
      </c>
      <c r="F45" s="131">
        <v>380</v>
      </c>
      <c r="G45" s="131">
        <v>0</v>
      </c>
      <c r="H45" s="131">
        <v>0</v>
      </c>
      <c r="I45" s="131">
        <v>277</v>
      </c>
      <c r="J45" s="131">
        <v>709.56</v>
      </c>
      <c r="K45" s="131">
        <v>35</v>
      </c>
      <c r="L45" s="131">
        <v>220</v>
      </c>
      <c r="M45" s="131">
        <v>5</v>
      </c>
      <c r="N45" s="131">
        <v>11.1</v>
      </c>
      <c r="O45" s="131">
        <f t="shared" si="0"/>
        <v>0</v>
      </c>
      <c r="P45" s="131">
        <f t="shared" si="1"/>
        <v>0</v>
      </c>
      <c r="Q45" s="131">
        <f>461+340</f>
        <v>801</v>
      </c>
      <c r="R45" s="131">
        <f>1320.66+2500</f>
        <v>3820.66</v>
      </c>
      <c r="S45" s="149">
        <f>R45*100/'Pri Sec_outstanding_6'!R45</f>
        <v>11.659373188074094</v>
      </c>
      <c r="T45" s="145">
        <f>D45*100/'Pri Sec_outstanding_6'!R45</f>
        <v>7.629161707711557</v>
      </c>
    </row>
    <row r="46" spans="1:20" ht="15" customHeight="1">
      <c r="A46" s="79">
        <v>39</v>
      </c>
      <c r="B46" s="130" t="s">
        <v>95</v>
      </c>
      <c r="C46" s="131">
        <v>0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f t="shared" si="0"/>
        <v>4</v>
      </c>
      <c r="P46" s="131">
        <f t="shared" si="1"/>
        <v>4.5</v>
      </c>
      <c r="Q46" s="131">
        <v>4</v>
      </c>
      <c r="R46" s="131">
        <v>4.5</v>
      </c>
      <c r="S46" s="149">
        <f>R46*100/'Pri Sec_outstanding_6'!R46</f>
        <v>0.032037590773173856</v>
      </c>
      <c r="T46" s="145">
        <f>D46*100/'Pri Sec_outstanding_6'!R46</f>
        <v>0</v>
      </c>
    </row>
    <row r="47" spans="1:20" ht="15" customHeight="1">
      <c r="A47" s="79">
        <v>40</v>
      </c>
      <c r="B47" s="130" t="s">
        <v>308</v>
      </c>
      <c r="C47" s="131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f t="shared" si="0"/>
        <v>26006</v>
      </c>
      <c r="P47" s="131">
        <f t="shared" si="1"/>
        <v>64121.6696</v>
      </c>
      <c r="Q47" s="131">
        <v>26006</v>
      </c>
      <c r="R47" s="131">
        <v>64121.6696</v>
      </c>
      <c r="S47" s="149">
        <f>R47*100/'Pri Sec_outstanding_6'!R47</f>
        <v>32.45516505542339</v>
      </c>
      <c r="T47" s="145">
        <f>D47*100/'Pri Sec_outstanding_6'!R47</f>
        <v>0</v>
      </c>
    </row>
    <row r="48" spans="1:20" ht="15" customHeight="1">
      <c r="A48" s="79">
        <v>41</v>
      </c>
      <c r="B48" s="130" t="s">
        <v>309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f t="shared" si="0"/>
        <v>0</v>
      </c>
      <c r="P48" s="131">
        <f t="shared" si="1"/>
        <v>0</v>
      </c>
      <c r="Q48" s="131">
        <v>0</v>
      </c>
      <c r="R48" s="131">
        <v>0</v>
      </c>
      <c r="S48" s="149">
        <f>R48*100/'Pri Sec_outstanding_6'!R48</f>
        <v>0</v>
      </c>
      <c r="T48" s="145">
        <f>D48*100/'Pri Sec_outstanding_6'!R48</f>
        <v>0</v>
      </c>
    </row>
    <row r="49" spans="1:20" ht="15" customHeight="1">
      <c r="A49" s="79">
        <v>42</v>
      </c>
      <c r="B49" s="139" t="s">
        <v>310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f t="shared" si="0"/>
        <v>0</v>
      </c>
      <c r="P49" s="131">
        <f t="shared" si="1"/>
        <v>0</v>
      </c>
      <c r="Q49" s="131">
        <v>0</v>
      </c>
      <c r="R49" s="131">
        <v>0</v>
      </c>
      <c r="S49" s="149">
        <f>R49*100/'Pri Sec_outstanding_6'!R49</f>
        <v>0</v>
      </c>
      <c r="T49" s="145">
        <f>D49*100/'Pri Sec_outstanding_6'!R49</f>
        <v>0</v>
      </c>
    </row>
    <row r="50" spans="1:20" ht="15" customHeight="1">
      <c r="A50" s="79">
        <v>43</v>
      </c>
      <c r="B50" s="130" t="s">
        <v>311</v>
      </c>
      <c r="C50" s="131">
        <v>3325</v>
      </c>
      <c r="D50" s="131">
        <v>3273.42000846</v>
      </c>
      <c r="E50" s="131">
        <v>10580</v>
      </c>
      <c r="F50" s="131">
        <v>765.3521386199996</v>
      </c>
      <c r="G50" s="131">
        <v>0</v>
      </c>
      <c r="H50" s="131">
        <v>0</v>
      </c>
      <c r="I50" s="131">
        <v>7187</v>
      </c>
      <c r="J50" s="131">
        <v>713.9579845199993</v>
      </c>
      <c r="K50" s="131">
        <v>0</v>
      </c>
      <c r="L50" s="131">
        <v>0</v>
      </c>
      <c r="M50" s="131">
        <v>0</v>
      </c>
      <c r="N50" s="131">
        <v>0</v>
      </c>
      <c r="O50" s="131">
        <f t="shared" si="0"/>
        <v>145101</v>
      </c>
      <c r="P50" s="131">
        <f t="shared" si="1"/>
        <v>18693.860027559618</v>
      </c>
      <c r="Q50" s="131">
        <v>166193</v>
      </c>
      <c r="R50" s="131">
        <v>23446.59015915962</v>
      </c>
      <c r="S50" s="149">
        <f>R50*100/'Pri Sec_outstanding_6'!R50</f>
        <v>29.916641455262262</v>
      </c>
      <c r="T50" s="145">
        <f>D50*100/'Pri Sec_outstanding_6'!R50</f>
        <v>4.176715337318346</v>
      </c>
    </row>
    <row r="51" spans="1:20" ht="15" customHeight="1">
      <c r="A51" s="79">
        <v>44</v>
      </c>
      <c r="B51" s="130" t="s">
        <v>78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f t="shared" si="0"/>
        <v>0</v>
      </c>
      <c r="P51" s="131">
        <f t="shared" si="1"/>
        <v>0</v>
      </c>
      <c r="Q51" s="131">
        <v>0</v>
      </c>
      <c r="R51" s="131">
        <v>0</v>
      </c>
      <c r="S51" s="149">
        <f>R51*100/'Pri Sec_outstanding_6'!R51</f>
        <v>0</v>
      </c>
      <c r="T51" s="145">
        <f>D51*100/'Pri Sec_outstanding_6'!R51</f>
        <v>0</v>
      </c>
    </row>
    <row r="52" spans="1:20" ht="15" customHeight="1">
      <c r="A52" s="82"/>
      <c r="B52" s="137" t="s">
        <v>274</v>
      </c>
      <c r="C52" s="138">
        <f>SUM(C35:C51)</f>
        <v>74874</v>
      </c>
      <c r="D52" s="138">
        <f aca="true" t="shared" si="4" ref="D52:R52">SUM(D35:D51)</f>
        <v>62781.74754476001</v>
      </c>
      <c r="E52" s="138">
        <f t="shared" si="4"/>
        <v>42358</v>
      </c>
      <c r="F52" s="138">
        <f t="shared" si="4"/>
        <v>45747.07104132</v>
      </c>
      <c r="G52" s="138">
        <f t="shared" si="4"/>
        <v>9189</v>
      </c>
      <c r="H52" s="138">
        <f t="shared" si="4"/>
        <v>4924.2753359</v>
      </c>
      <c r="I52" s="138">
        <f t="shared" si="4"/>
        <v>25608</v>
      </c>
      <c r="J52" s="138">
        <f t="shared" si="4"/>
        <v>56413.23611232</v>
      </c>
      <c r="K52" s="138">
        <f t="shared" si="4"/>
        <v>35</v>
      </c>
      <c r="L52" s="138">
        <f t="shared" si="4"/>
        <v>220</v>
      </c>
      <c r="M52" s="138">
        <f t="shared" si="4"/>
        <v>45</v>
      </c>
      <c r="N52" s="138">
        <f t="shared" si="4"/>
        <v>15.1</v>
      </c>
      <c r="O52" s="138">
        <f>SUM(O35:O51)</f>
        <v>499483</v>
      </c>
      <c r="P52" s="138">
        <f>SUM(P35:P51)</f>
        <v>199502.51469885962</v>
      </c>
      <c r="Q52" s="138">
        <f t="shared" si="4"/>
        <v>651592</v>
      </c>
      <c r="R52" s="138">
        <f t="shared" si="4"/>
        <v>369603.9447331596</v>
      </c>
      <c r="S52" s="150">
        <f>R52*100/'Pri Sec_outstanding_6'!R52</f>
        <v>10.598778904273935</v>
      </c>
      <c r="T52" s="145">
        <f>D52*100/'Pri Sec_outstanding_6'!R52</f>
        <v>1.8003321418315912</v>
      </c>
    </row>
    <row r="53" spans="1:20" ht="15" customHeight="1">
      <c r="A53" s="79">
        <v>45</v>
      </c>
      <c r="B53" s="130" t="s">
        <v>48</v>
      </c>
      <c r="C53" s="131">
        <v>47258</v>
      </c>
      <c r="D53" s="131">
        <v>62162</v>
      </c>
      <c r="E53" s="131">
        <v>26433</v>
      </c>
      <c r="F53" s="131">
        <v>25094</v>
      </c>
      <c r="G53" s="131">
        <v>11843</v>
      </c>
      <c r="H53" s="131">
        <v>2913</v>
      </c>
      <c r="I53" s="131">
        <v>4956</v>
      </c>
      <c r="J53" s="131">
        <v>4705</v>
      </c>
      <c r="K53" s="131">
        <v>1246</v>
      </c>
      <c r="L53" s="131">
        <v>3</v>
      </c>
      <c r="M53" s="131">
        <v>0</v>
      </c>
      <c r="N53" s="131">
        <v>0</v>
      </c>
      <c r="O53" s="131">
        <f t="shared" si="0"/>
        <v>73470</v>
      </c>
      <c r="P53" s="131">
        <f t="shared" si="1"/>
        <v>61962</v>
      </c>
      <c r="Q53" s="131">
        <v>165206</v>
      </c>
      <c r="R53" s="131">
        <v>156839</v>
      </c>
      <c r="S53" s="149">
        <f>R53*100/'Pri Sec_outstanding_6'!R53</f>
        <v>41.13108584765876</v>
      </c>
      <c r="T53" s="145">
        <f>D53*100/'Pri Sec_outstanding_6'!R53</f>
        <v>16.30200752658563</v>
      </c>
    </row>
    <row r="54" spans="1:20" ht="15" customHeight="1">
      <c r="A54" s="79">
        <v>46</v>
      </c>
      <c r="B54" s="130" t="s">
        <v>269</v>
      </c>
      <c r="C54" s="131">
        <v>141143</v>
      </c>
      <c r="D54" s="131">
        <v>86340</v>
      </c>
      <c r="E54" s="131">
        <v>59900</v>
      </c>
      <c r="F54" s="131">
        <v>29375</v>
      </c>
      <c r="G54" s="131">
        <v>8200</v>
      </c>
      <c r="H54" s="131">
        <v>3468</v>
      </c>
      <c r="I54" s="131">
        <v>30416</v>
      </c>
      <c r="J54" s="131">
        <v>12821</v>
      </c>
      <c r="K54" s="131">
        <v>282</v>
      </c>
      <c r="L54" s="131">
        <v>9</v>
      </c>
      <c r="M54" s="131">
        <v>0</v>
      </c>
      <c r="N54" s="131">
        <v>0</v>
      </c>
      <c r="O54" s="131">
        <f t="shared" si="0"/>
        <v>0</v>
      </c>
      <c r="P54" s="131">
        <f t="shared" si="1"/>
        <v>0</v>
      </c>
      <c r="Q54" s="131">
        <v>239941</v>
      </c>
      <c r="R54" s="131">
        <v>132013</v>
      </c>
      <c r="S54" s="149">
        <f>R54*100/'Pri Sec_outstanding_6'!R54</f>
        <v>51.23216752821373</v>
      </c>
      <c r="T54" s="145">
        <f>D54*100/'Pri Sec_outstanding_6'!R54</f>
        <v>33.50719508219625</v>
      </c>
    </row>
    <row r="55" spans="1:20" ht="15" customHeight="1">
      <c r="A55" s="79">
        <v>47</v>
      </c>
      <c r="B55" s="130" t="s">
        <v>54</v>
      </c>
      <c r="C55" s="131">
        <v>34979</v>
      </c>
      <c r="D55" s="131">
        <v>35362</v>
      </c>
      <c r="E55" s="131">
        <v>57744</v>
      </c>
      <c r="F55" s="131">
        <v>55203.263999999996</v>
      </c>
      <c r="G55" s="131">
        <v>17546</v>
      </c>
      <c r="H55" s="131">
        <v>15845.01</v>
      </c>
      <c r="I55" s="131">
        <v>21628</v>
      </c>
      <c r="J55" s="131">
        <v>14761.672327999999</v>
      </c>
      <c r="K55" s="131">
        <v>10645</v>
      </c>
      <c r="L55" s="131">
        <v>307.12</v>
      </c>
      <c r="M55" s="131">
        <v>0</v>
      </c>
      <c r="N55" s="131">
        <v>0</v>
      </c>
      <c r="O55" s="131">
        <f t="shared" si="0"/>
        <v>0</v>
      </c>
      <c r="P55" s="131">
        <f t="shared" si="1"/>
        <v>0</v>
      </c>
      <c r="Q55" s="131">
        <v>142542</v>
      </c>
      <c r="R55" s="131">
        <v>121479.06632799999</v>
      </c>
      <c r="S55" s="149">
        <f>R55*100/'Pri Sec_outstanding_6'!R55</f>
        <v>28.149655966667492</v>
      </c>
      <c r="T55" s="145">
        <f>D55*100/'Pri Sec_outstanding_6'!R55</f>
        <v>8.194235964948781</v>
      </c>
    </row>
    <row r="56" spans="1:20" ht="15" customHeight="1">
      <c r="A56" s="82"/>
      <c r="B56" s="137" t="s">
        <v>270</v>
      </c>
      <c r="C56" s="138">
        <f>SUM(C53:C55)</f>
        <v>223380</v>
      </c>
      <c r="D56" s="138">
        <f aca="true" t="shared" si="5" ref="D56:R56">SUM(D53:D55)</f>
        <v>183864</v>
      </c>
      <c r="E56" s="138">
        <f t="shared" si="5"/>
        <v>144077</v>
      </c>
      <c r="F56" s="138">
        <f t="shared" si="5"/>
        <v>109672.264</v>
      </c>
      <c r="G56" s="138">
        <f t="shared" si="5"/>
        <v>37589</v>
      </c>
      <c r="H56" s="138">
        <f t="shared" si="5"/>
        <v>22226.010000000002</v>
      </c>
      <c r="I56" s="138">
        <f t="shared" si="5"/>
        <v>57000</v>
      </c>
      <c r="J56" s="138">
        <f t="shared" si="5"/>
        <v>32287.672328</v>
      </c>
      <c r="K56" s="138">
        <f t="shared" si="5"/>
        <v>12173</v>
      </c>
      <c r="L56" s="138">
        <f t="shared" si="5"/>
        <v>319.12</v>
      </c>
      <c r="M56" s="138">
        <f t="shared" si="5"/>
        <v>0</v>
      </c>
      <c r="N56" s="138">
        <f t="shared" si="5"/>
        <v>0</v>
      </c>
      <c r="O56" s="138">
        <f>SUM(O53:O55)</f>
        <v>73470</v>
      </c>
      <c r="P56" s="138">
        <f>SUM(P53:P55)</f>
        <v>61962</v>
      </c>
      <c r="Q56" s="138">
        <f t="shared" si="5"/>
        <v>547689</v>
      </c>
      <c r="R56" s="138">
        <f t="shared" si="5"/>
        <v>410331.066328</v>
      </c>
      <c r="S56" s="150">
        <f>R56*100/'Pri Sec_outstanding_6'!R56</f>
        <v>38.3294166430243</v>
      </c>
      <c r="T56" s="145">
        <f>D56*100/'Pri Sec_outstanding_6'!R56</f>
        <v>17.17491177238735</v>
      </c>
    </row>
    <row r="57" spans="1:20" ht="15" customHeight="1">
      <c r="A57" s="79">
        <v>48</v>
      </c>
      <c r="B57" s="130" t="s">
        <v>312</v>
      </c>
      <c r="C57" s="131">
        <v>0</v>
      </c>
      <c r="D57" s="131">
        <v>227057</v>
      </c>
      <c r="E57" s="131">
        <v>0</v>
      </c>
      <c r="F57" s="131">
        <v>167104</v>
      </c>
      <c r="G57" s="131">
        <v>0</v>
      </c>
      <c r="H57" s="131">
        <v>1083</v>
      </c>
      <c r="I57" s="131">
        <v>0</v>
      </c>
      <c r="J57" s="131">
        <v>18866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>
        <v>50103</v>
      </c>
      <c r="Q57" s="131">
        <v>0</v>
      </c>
      <c r="R57" s="131">
        <v>464110</v>
      </c>
      <c r="S57" s="149">
        <f>R57*100/'Pri Sec_outstanding_6'!R57</f>
        <v>40.66510236590268</v>
      </c>
      <c r="T57" s="145">
        <f>D57*100/'Pri Sec_outstanding_6'!R57</f>
        <v>19.89462874726846</v>
      </c>
    </row>
    <row r="58" spans="1:20" ht="15" customHeight="1">
      <c r="A58" s="82"/>
      <c r="B58" s="137" t="s">
        <v>275</v>
      </c>
      <c r="C58" s="138">
        <f>C57</f>
        <v>0</v>
      </c>
      <c r="D58" s="138">
        <f aca="true" t="shared" si="6" ref="D58:R58">D57</f>
        <v>227057</v>
      </c>
      <c r="E58" s="138">
        <f t="shared" si="6"/>
        <v>0</v>
      </c>
      <c r="F58" s="138">
        <f t="shared" si="6"/>
        <v>167104</v>
      </c>
      <c r="G58" s="138">
        <f t="shared" si="6"/>
        <v>0</v>
      </c>
      <c r="H58" s="138">
        <f t="shared" si="6"/>
        <v>1083</v>
      </c>
      <c r="I58" s="138">
        <f t="shared" si="6"/>
        <v>0</v>
      </c>
      <c r="J58" s="138">
        <f t="shared" si="6"/>
        <v>18866</v>
      </c>
      <c r="K58" s="138">
        <f t="shared" si="6"/>
        <v>0</v>
      </c>
      <c r="L58" s="138">
        <f t="shared" si="6"/>
        <v>0</v>
      </c>
      <c r="M58" s="138">
        <f t="shared" si="6"/>
        <v>0</v>
      </c>
      <c r="N58" s="138">
        <f t="shared" si="6"/>
        <v>0</v>
      </c>
      <c r="O58" s="138">
        <f>O57</f>
        <v>0</v>
      </c>
      <c r="P58" s="138">
        <f>P57</f>
        <v>50103</v>
      </c>
      <c r="Q58" s="138">
        <f t="shared" si="6"/>
        <v>0</v>
      </c>
      <c r="R58" s="138">
        <f t="shared" si="6"/>
        <v>464110</v>
      </c>
      <c r="S58" s="150">
        <f>R58*100/'Pri Sec_outstanding_6'!R58</f>
        <v>40.66510236590268</v>
      </c>
      <c r="T58" s="145">
        <f>D58*100/'Pri Sec_outstanding_6'!R58</f>
        <v>19.89462874726846</v>
      </c>
    </row>
    <row r="59" spans="1:20" ht="15" customHeight="1">
      <c r="A59" s="82"/>
      <c r="B59" s="137" t="s">
        <v>276</v>
      </c>
      <c r="C59" s="138">
        <f>C58+C56+C52+C34+C27</f>
        <v>1645669</v>
      </c>
      <c r="D59" s="138">
        <f aca="true" t="shared" si="7" ref="D59:R59">D58+D56+D52+D34+D27</f>
        <v>2138594.77754476</v>
      </c>
      <c r="E59" s="138">
        <f t="shared" si="7"/>
        <v>652568</v>
      </c>
      <c r="F59" s="138">
        <f t="shared" si="7"/>
        <v>941503.15504132</v>
      </c>
      <c r="G59" s="138">
        <f t="shared" si="7"/>
        <v>76002</v>
      </c>
      <c r="H59" s="138">
        <f t="shared" si="7"/>
        <v>54763.5353359</v>
      </c>
      <c r="I59" s="138">
        <f t="shared" si="7"/>
        <v>423482</v>
      </c>
      <c r="J59" s="138">
        <f t="shared" si="7"/>
        <v>626724.2246686199</v>
      </c>
      <c r="K59" s="138">
        <f t="shared" si="7"/>
        <v>187945</v>
      </c>
      <c r="L59" s="138">
        <f t="shared" si="7"/>
        <v>67106.17199999999</v>
      </c>
      <c r="M59" s="138">
        <f t="shared" si="7"/>
        <v>7351</v>
      </c>
      <c r="N59" s="138">
        <f t="shared" si="7"/>
        <v>1387.0883858999998</v>
      </c>
      <c r="O59" s="138">
        <f>O58+O56+O52+O34+O27</f>
        <v>641182</v>
      </c>
      <c r="P59" s="138">
        <f>P58+P56+P52+P34+P27</f>
        <v>522662.8210178596</v>
      </c>
      <c r="Q59" s="138">
        <f t="shared" si="7"/>
        <v>3165115</v>
      </c>
      <c r="R59" s="138">
        <f t="shared" si="7"/>
        <v>4296152.75576536</v>
      </c>
      <c r="S59" s="150">
        <f>R59*100/'Pri Sec_outstanding_6'!R59</f>
        <v>20.562222675366712</v>
      </c>
      <c r="T59" s="145">
        <f>D59*100/'Pri Sec_outstanding_6'!R59</f>
        <v>10.235730554328875</v>
      </c>
    </row>
  </sheetData>
  <sheetProtection/>
  <mergeCells count="12">
    <mergeCell ref="Q4:R4"/>
    <mergeCell ref="C3:S3"/>
    <mergeCell ref="A1:S1"/>
    <mergeCell ref="A3:A5"/>
    <mergeCell ref="B3:B5"/>
    <mergeCell ref="C4:D4"/>
    <mergeCell ref="E4:F4"/>
    <mergeCell ref="G4:H4"/>
    <mergeCell ref="I4:J4"/>
    <mergeCell ref="K4:L4"/>
    <mergeCell ref="M4:N4"/>
    <mergeCell ref="O4:P4"/>
  </mergeCells>
  <conditionalFormatting sqref="B6">
    <cfRule type="duplicateValues" priority="3" dxfId="197">
      <formula>AND(COUNTIF($B$6:$B$6,B6)&gt;1,NOT(ISBLANK(B6)))</formula>
    </cfRule>
  </conditionalFormatting>
  <conditionalFormatting sqref="B22">
    <cfRule type="duplicateValues" priority="4" dxfId="197">
      <formula>AND(COUNTIF($B$22:$B$22,B22)&gt;1,NOT(ISBLANK(B22)))</formula>
    </cfRule>
  </conditionalFormatting>
  <conditionalFormatting sqref="B33:B34 B26:B30">
    <cfRule type="duplicateValues" priority="5" dxfId="197">
      <formula>AND(COUNTIF($B$33:$B$34,B26)+COUNTIF($B$26:$B$30,B26)&gt;1,NOT(ISBLANK(B26)))</formula>
    </cfRule>
  </conditionalFormatting>
  <conditionalFormatting sqref="B52">
    <cfRule type="duplicateValues" priority="6" dxfId="197">
      <formula>AND(COUNTIF($B$52:$B$52,B52)&gt;1,NOT(ISBLANK(B52)))</formula>
    </cfRule>
  </conditionalFormatting>
  <conditionalFormatting sqref="B56">
    <cfRule type="duplicateValues" priority="7" dxfId="197">
      <formula>AND(COUNTIF($B$56:$B$56,B56)&gt;1,NOT(ISBLANK(B56)))</formula>
    </cfRule>
  </conditionalFormatting>
  <conditionalFormatting sqref="B58">
    <cfRule type="duplicateValues" priority="8" dxfId="197">
      <formula>AND(COUNTIF($B$58:$B$58,B58)&gt;1,NOT(ISBLANK(B58)))</formula>
    </cfRule>
  </conditionalFormatting>
  <conditionalFormatting sqref="C1:S65536">
    <cfRule type="cellIs" priority="2" dxfId="198" operator="lessThan" stopIfTrue="1">
      <formula>0</formula>
    </cfRule>
  </conditionalFormatting>
  <conditionalFormatting sqref="S1:S65536">
    <cfRule type="cellIs" priority="1" dxfId="198" operator="lessThan" stopIfTrue="1">
      <formula>10</formula>
    </cfRule>
  </conditionalFormatting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34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Z59"/>
  <sheetViews>
    <sheetView view="pageBreakPreview" zoomScale="60" zoomScalePageLayoutView="0" workbookViewId="0" topLeftCell="A1">
      <pane xSplit="2" ySplit="5" topLeftCell="K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57" sqref="W57"/>
    </sheetView>
  </sheetViews>
  <sheetFormatPr defaultColWidth="4.421875" defaultRowHeight="12.75"/>
  <cols>
    <col min="1" max="1" width="4.421875" style="145" customWidth="1"/>
    <col min="2" max="2" width="22.57421875" style="145" customWidth="1"/>
    <col min="3" max="3" width="8.421875" style="145" bestFit="1" customWidth="1"/>
    <col min="4" max="4" width="10.140625" style="145" bestFit="1" customWidth="1"/>
    <col min="5" max="5" width="7.7109375" style="145" bestFit="1" customWidth="1"/>
    <col min="6" max="6" width="9.00390625" style="145" bestFit="1" customWidth="1"/>
    <col min="7" max="7" width="6.28125" style="145" bestFit="1" customWidth="1"/>
    <col min="8" max="8" width="9.8515625" style="145" bestFit="1" customWidth="1"/>
    <col min="9" max="9" width="6.140625" style="145" bestFit="1" customWidth="1"/>
    <col min="10" max="10" width="10.57421875" style="145" bestFit="1" customWidth="1"/>
    <col min="11" max="11" width="7.28125" style="145" bestFit="1" customWidth="1"/>
    <col min="12" max="12" width="10.140625" style="145" bestFit="1" customWidth="1"/>
    <col min="13" max="13" width="8.28125" style="145" bestFit="1" customWidth="1"/>
    <col min="14" max="14" width="9.00390625" style="145" bestFit="1" customWidth="1"/>
    <col min="15" max="15" width="9.140625" style="145" bestFit="1" customWidth="1"/>
    <col min="16" max="16" width="10.140625" style="145" bestFit="1" customWidth="1"/>
    <col min="17" max="19" width="10.421875" style="145" bestFit="1" customWidth="1"/>
    <col min="20" max="20" width="11.28125" style="145" bestFit="1" customWidth="1"/>
    <col min="21" max="21" width="11.140625" style="145" bestFit="1" customWidth="1"/>
    <col min="22" max="22" width="12.28125" style="145" customWidth="1"/>
    <col min="23" max="24" width="9.00390625" style="145" customWidth="1"/>
    <col min="25" max="25" width="9.00390625" style="162" customWidth="1"/>
    <col min="26" max="26" width="7.7109375" style="145" customWidth="1"/>
    <col min="27" max="27" width="9.421875" style="145" customWidth="1"/>
    <col min="28" max="37" width="4.421875" style="145" customWidth="1"/>
    <col min="38" max="38" width="9.421875" style="145" customWidth="1"/>
    <col min="39" max="16384" width="4.421875" style="145" customWidth="1"/>
  </cols>
  <sheetData>
    <row r="1" spans="1:22" ht="15.75">
      <c r="A1" s="575" t="s">
        <v>318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22" ht="13.5" customHeight="1">
      <c r="A2" s="576" t="s">
        <v>124</v>
      </c>
      <c r="B2" s="576" t="s">
        <v>102</v>
      </c>
      <c r="C2" s="571" t="s">
        <v>319</v>
      </c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2"/>
    </row>
    <row r="3" spans="1:22" ht="15" customHeight="1">
      <c r="A3" s="576"/>
      <c r="B3" s="576"/>
      <c r="C3" s="577" t="s">
        <v>172</v>
      </c>
      <c r="D3" s="578"/>
      <c r="E3" s="573" t="s">
        <v>24</v>
      </c>
      <c r="F3" s="573"/>
      <c r="G3" s="573"/>
      <c r="H3" s="573"/>
      <c r="I3" s="573"/>
      <c r="J3" s="573"/>
      <c r="K3" s="573"/>
      <c r="L3" s="573"/>
      <c r="M3" s="573" t="s">
        <v>143</v>
      </c>
      <c r="N3" s="573"/>
      <c r="O3" s="578" t="s">
        <v>144</v>
      </c>
      <c r="P3" s="581"/>
      <c r="Q3" s="573" t="s">
        <v>173</v>
      </c>
      <c r="R3" s="573"/>
      <c r="S3" s="573" t="s">
        <v>137</v>
      </c>
      <c r="T3" s="573"/>
      <c r="U3" s="573" t="s">
        <v>174</v>
      </c>
      <c r="V3" s="573"/>
    </row>
    <row r="4" spans="1:22" ht="19.5" customHeight="1">
      <c r="A4" s="576"/>
      <c r="B4" s="576"/>
      <c r="C4" s="579"/>
      <c r="D4" s="580"/>
      <c r="E4" s="571" t="s">
        <v>133</v>
      </c>
      <c r="F4" s="572"/>
      <c r="G4" s="571" t="s">
        <v>134</v>
      </c>
      <c r="H4" s="572"/>
      <c r="I4" s="571" t="s">
        <v>135</v>
      </c>
      <c r="J4" s="572"/>
      <c r="K4" s="571" t="s">
        <v>175</v>
      </c>
      <c r="L4" s="574"/>
      <c r="M4" s="573"/>
      <c r="N4" s="573"/>
      <c r="O4" s="580"/>
      <c r="P4" s="582"/>
      <c r="Q4" s="573"/>
      <c r="R4" s="573"/>
      <c r="S4" s="573"/>
      <c r="T4" s="573"/>
      <c r="U4" s="573"/>
      <c r="V4" s="573"/>
    </row>
    <row r="5" spans="1:26" ht="15" customHeight="1">
      <c r="A5" s="576"/>
      <c r="B5" s="576"/>
      <c r="C5" s="147" t="s">
        <v>315</v>
      </c>
      <c r="D5" s="147" t="s">
        <v>314</v>
      </c>
      <c r="E5" s="147" t="s">
        <v>315</v>
      </c>
      <c r="F5" s="147" t="s">
        <v>314</v>
      </c>
      <c r="G5" s="147" t="s">
        <v>315</v>
      </c>
      <c r="H5" s="147" t="s">
        <v>314</v>
      </c>
      <c r="I5" s="147" t="s">
        <v>315</v>
      </c>
      <c r="J5" s="147" t="s">
        <v>314</v>
      </c>
      <c r="K5" s="147" t="s">
        <v>315</v>
      </c>
      <c r="L5" s="147" t="s">
        <v>314</v>
      </c>
      <c r="M5" s="147" t="s">
        <v>315</v>
      </c>
      <c r="N5" s="147" t="s">
        <v>314</v>
      </c>
      <c r="O5" s="147" t="s">
        <v>315</v>
      </c>
      <c r="P5" s="147" t="s">
        <v>314</v>
      </c>
      <c r="Q5" s="147" t="s">
        <v>315</v>
      </c>
      <c r="R5" s="147" t="s">
        <v>314</v>
      </c>
      <c r="S5" s="147" t="s">
        <v>315</v>
      </c>
      <c r="T5" s="155" t="s">
        <v>314</v>
      </c>
      <c r="U5" s="147" t="s">
        <v>315</v>
      </c>
      <c r="V5" s="147" t="s">
        <v>314</v>
      </c>
      <c r="W5" s="145" t="s">
        <v>320</v>
      </c>
      <c r="X5" s="145" t="s">
        <v>1</v>
      </c>
      <c r="Y5" s="162" t="s">
        <v>321</v>
      </c>
      <c r="Z5" s="145" t="s">
        <v>322</v>
      </c>
    </row>
    <row r="6" spans="1:26" ht="15" customHeight="1">
      <c r="A6" s="156">
        <v>1</v>
      </c>
      <c r="B6" s="131" t="s">
        <v>57</v>
      </c>
      <c r="C6" s="131">
        <v>0</v>
      </c>
      <c r="D6" s="131">
        <v>0</v>
      </c>
      <c r="E6" s="131">
        <v>1</v>
      </c>
      <c r="F6" s="131">
        <v>32.92</v>
      </c>
      <c r="G6" s="131">
        <v>6</v>
      </c>
      <c r="H6" s="131">
        <v>1929.26</v>
      </c>
      <c r="I6" s="131">
        <v>2</v>
      </c>
      <c r="J6" s="131">
        <v>2393.59</v>
      </c>
      <c r="K6" s="131">
        <f>E6+G6+I6</f>
        <v>9</v>
      </c>
      <c r="L6" s="131">
        <f>F6+H6+J6</f>
        <v>4355.77</v>
      </c>
      <c r="M6" s="131">
        <v>11</v>
      </c>
      <c r="N6" s="131">
        <v>124</v>
      </c>
      <c r="O6" s="131">
        <v>114</v>
      </c>
      <c r="P6" s="131">
        <v>35.26</v>
      </c>
      <c r="Q6" s="131">
        <v>5869</v>
      </c>
      <c r="R6" s="131">
        <v>6526.31</v>
      </c>
      <c r="S6" s="131">
        <v>3398</v>
      </c>
      <c r="T6" s="131">
        <f>212482.15-32</f>
        <v>212450.15</v>
      </c>
      <c r="U6" s="131">
        <f>S6+Q6+O6+M6+K6+C6</f>
        <v>9401</v>
      </c>
      <c r="V6" s="131">
        <f>T6+R6+P6+N6+L6+D6</f>
        <v>223491.49</v>
      </c>
      <c r="W6" s="145">
        <f>'Pri Sec_outstanding_6'!P6</f>
        <v>416130.17999999993</v>
      </c>
      <c r="X6" s="145">
        <f>V6+W6</f>
        <v>639621.6699999999</v>
      </c>
      <c r="Y6" s="162">
        <f>'Pri Sec_outstanding_6'!R6</f>
        <v>639622</v>
      </c>
      <c r="Z6" s="145">
        <f>X6-Y6</f>
        <v>-0.3300000000745058</v>
      </c>
    </row>
    <row r="7" spans="1:26" ht="15" customHeight="1">
      <c r="A7" s="156">
        <v>2</v>
      </c>
      <c r="B7" s="131" t="s">
        <v>58</v>
      </c>
      <c r="C7" s="131">
        <v>1</v>
      </c>
      <c r="D7" s="131">
        <v>6</v>
      </c>
      <c r="E7" s="131">
        <v>1</v>
      </c>
      <c r="F7" s="131">
        <v>668</v>
      </c>
      <c r="G7" s="131">
        <v>0</v>
      </c>
      <c r="H7" s="131">
        <v>0</v>
      </c>
      <c r="I7" s="131">
        <v>0</v>
      </c>
      <c r="J7" s="131">
        <v>0</v>
      </c>
      <c r="K7" s="131">
        <f aca="true" t="shared" si="0" ref="K7:K59">E7+G7+I7</f>
        <v>1</v>
      </c>
      <c r="L7" s="131">
        <f aca="true" t="shared" si="1" ref="L7:L59">F7+H7+J7</f>
        <v>668</v>
      </c>
      <c r="M7" s="131">
        <v>8</v>
      </c>
      <c r="N7" s="131">
        <v>127</v>
      </c>
      <c r="O7" s="131">
        <v>14</v>
      </c>
      <c r="P7" s="131">
        <v>588</v>
      </c>
      <c r="Q7" s="131">
        <v>2372</v>
      </c>
      <c r="R7" s="131">
        <v>4208</v>
      </c>
      <c r="S7" s="131">
        <v>637</v>
      </c>
      <c r="T7" s="131">
        <v>11267</v>
      </c>
      <c r="U7" s="131">
        <f aca="true" t="shared" si="2" ref="U7:U57">S7+Q7+O7+M7+K7+C7</f>
        <v>3033</v>
      </c>
      <c r="V7" s="131">
        <f aca="true" t="shared" si="3" ref="V7:V57">T7+R7+P7+N7+L7+D7</f>
        <v>16864</v>
      </c>
      <c r="W7" s="145">
        <f>'Pri Sec_outstanding_6'!P7</f>
        <v>30503</v>
      </c>
      <c r="X7" s="145">
        <f aca="true" t="shared" si="4" ref="X7:X59">V7+W7</f>
        <v>47367</v>
      </c>
      <c r="Y7" s="162">
        <f>'Pri Sec_outstanding_6'!R7</f>
        <v>47367</v>
      </c>
      <c r="Z7" s="145">
        <f aca="true" t="shared" si="5" ref="Z7:Z59">X7-Y7</f>
        <v>0</v>
      </c>
    </row>
    <row r="8" spans="1:26" ht="15" customHeight="1">
      <c r="A8" s="156">
        <v>3</v>
      </c>
      <c r="B8" s="131" t="s">
        <v>59</v>
      </c>
      <c r="C8" s="131">
        <v>0</v>
      </c>
      <c r="D8" s="131">
        <v>0</v>
      </c>
      <c r="E8" s="131">
        <v>722</v>
      </c>
      <c r="F8" s="131">
        <v>56280</v>
      </c>
      <c r="G8" s="131">
        <v>137</v>
      </c>
      <c r="H8" s="131">
        <v>61732</v>
      </c>
      <c r="I8" s="131">
        <v>183</v>
      </c>
      <c r="J8" s="131">
        <v>52906</v>
      </c>
      <c r="K8" s="131">
        <f t="shared" si="0"/>
        <v>1042</v>
      </c>
      <c r="L8" s="131">
        <f t="shared" si="1"/>
        <v>170918</v>
      </c>
      <c r="M8" s="131">
        <v>118</v>
      </c>
      <c r="N8" s="131">
        <v>1633</v>
      </c>
      <c r="O8" s="131">
        <v>725</v>
      </c>
      <c r="P8" s="131">
        <v>21232</v>
      </c>
      <c r="Q8" s="131">
        <v>1794</v>
      </c>
      <c r="R8" s="131">
        <v>2223</v>
      </c>
      <c r="S8" s="131">
        <v>6469</v>
      </c>
      <c r="T8" s="131">
        <f>31733+158464</f>
        <v>190197</v>
      </c>
      <c r="U8" s="131">
        <f t="shared" si="2"/>
        <v>10148</v>
      </c>
      <c r="V8" s="131">
        <f t="shared" si="3"/>
        <v>386203</v>
      </c>
      <c r="W8" s="145">
        <f>'Pri Sec_outstanding_6'!P8</f>
        <v>506097.29</v>
      </c>
      <c r="X8" s="145">
        <f t="shared" si="4"/>
        <v>892300.29</v>
      </c>
      <c r="Y8" s="162">
        <f>'Pri Sec_outstanding_6'!R8</f>
        <v>892300</v>
      </c>
      <c r="Z8" s="145">
        <f t="shared" si="5"/>
        <v>0.2900000000372529</v>
      </c>
    </row>
    <row r="9" spans="1:26" ht="15" customHeight="1">
      <c r="A9" s="156">
        <v>4</v>
      </c>
      <c r="B9" s="131" t="s">
        <v>60</v>
      </c>
      <c r="C9" s="131">
        <v>16705</v>
      </c>
      <c r="D9" s="131">
        <v>65417</v>
      </c>
      <c r="E9" s="131">
        <v>11</v>
      </c>
      <c r="F9" s="131">
        <v>2175.38</v>
      </c>
      <c r="G9" s="131">
        <v>60</v>
      </c>
      <c r="H9" s="131">
        <v>17942.61</v>
      </c>
      <c r="I9" s="131">
        <v>15</v>
      </c>
      <c r="J9" s="131">
        <v>10589.58</v>
      </c>
      <c r="K9" s="131">
        <f t="shared" si="0"/>
        <v>86</v>
      </c>
      <c r="L9" s="131">
        <f t="shared" si="1"/>
        <v>30707.57</v>
      </c>
      <c r="M9" s="131">
        <v>121</v>
      </c>
      <c r="N9" s="131">
        <v>140.48</v>
      </c>
      <c r="O9" s="131">
        <v>1169</v>
      </c>
      <c r="P9" s="131">
        <v>3865.99</v>
      </c>
      <c r="Q9" s="131">
        <v>2979</v>
      </c>
      <c r="R9" s="131">
        <v>7751.12</v>
      </c>
      <c r="S9" s="131">
        <v>655</v>
      </c>
      <c r="T9" s="131">
        <f>53772.17+222812</f>
        <v>276584.17</v>
      </c>
      <c r="U9" s="131">
        <f t="shared" si="2"/>
        <v>21715</v>
      </c>
      <c r="V9" s="131">
        <f t="shared" si="3"/>
        <v>384466.32999999996</v>
      </c>
      <c r="W9" s="145">
        <f>'Pri Sec_outstanding_6'!P9</f>
        <v>1256390.8966321</v>
      </c>
      <c r="X9" s="145">
        <f t="shared" si="4"/>
        <v>1640857.2266321</v>
      </c>
      <c r="Y9" s="162">
        <f>'Pri Sec_outstanding_6'!R9</f>
        <v>1640857</v>
      </c>
      <c r="Z9" s="145">
        <f t="shared" si="5"/>
        <v>0.22663210006430745</v>
      </c>
    </row>
    <row r="10" spans="1:26" ht="15" customHeight="1">
      <c r="A10" s="156">
        <v>5</v>
      </c>
      <c r="B10" s="131" t="s">
        <v>61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f t="shared" si="0"/>
        <v>0</v>
      </c>
      <c r="L10" s="131">
        <f t="shared" si="1"/>
        <v>0</v>
      </c>
      <c r="M10" s="131">
        <v>35</v>
      </c>
      <c r="N10" s="131">
        <v>739</v>
      </c>
      <c r="O10" s="131">
        <v>327</v>
      </c>
      <c r="P10" s="131">
        <v>13875</v>
      </c>
      <c r="Q10" s="131">
        <v>0</v>
      </c>
      <c r="R10" s="131">
        <v>0</v>
      </c>
      <c r="S10" s="131">
        <v>9502</v>
      </c>
      <c r="T10" s="131">
        <f>35688+14878</f>
        <v>50566</v>
      </c>
      <c r="U10" s="131">
        <f t="shared" si="2"/>
        <v>9864</v>
      </c>
      <c r="V10" s="131">
        <f t="shared" si="3"/>
        <v>65180</v>
      </c>
      <c r="W10" s="145">
        <f>'Pri Sec_outstanding_6'!P10</f>
        <v>302415.69</v>
      </c>
      <c r="X10" s="145">
        <f t="shared" si="4"/>
        <v>367595.69</v>
      </c>
      <c r="Y10" s="162">
        <f>'Pri Sec_outstanding_6'!R10</f>
        <v>367596</v>
      </c>
      <c r="Z10" s="145">
        <f t="shared" si="5"/>
        <v>-0.3099999999976717</v>
      </c>
    </row>
    <row r="11" spans="1:26" ht="15" customHeight="1">
      <c r="A11" s="156">
        <v>6</v>
      </c>
      <c r="B11" s="157" t="s">
        <v>289</v>
      </c>
      <c r="C11" s="131">
        <v>0</v>
      </c>
      <c r="D11" s="131">
        <v>0</v>
      </c>
      <c r="E11" s="131">
        <v>8</v>
      </c>
      <c r="F11" s="131">
        <v>26</v>
      </c>
      <c r="G11" s="131">
        <v>0</v>
      </c>
      <c r="H11" s="131">
        <v>0</v>
      </c>
      <c r="I11" s="131">
        <v>0</v>
      </c>
      <c r="J11" s="131">
        <v>0</v>
      </c>
      <c r="K11" s="131">
        <f t="shared" si="0"/>
        <v>8</v>
      </c>
      <c r="L11" s="131">
        <f t="shared" si="1"/>
        <v>26</v>
      </c>
      <c r="M11" s="131">
        <v>1</v>
      </c>
      <c r="N11" s="131">
        <v>2.52</v>
      </c>
      <c r="O11" s="131">
        <v>4</v>
      </c>
      <c r="P11" s="131">
        <v>48</v>
      </c>
      <c r="Q11" s="131">
        <v>0</v>
      </c>
      <c r="R11" s="131">
        <v>0</v>
      </c>
      <c r="S11" s="131">
        <v>0</v>
      </c>
      <c r="T11" s="131">
        <v>0</v>
      </c>
      <c r="U11" s="131">
        <f t="shared" si="2"/>
        <v>13</v>
      </c>
      <c r="V11" s="131">
        <f t="shared" si="3"/>
        <v>76.52000000000001</v>
      </c>
      <c r="W11" s="145">
        <f>'Pri Sec_outstanding_6'!P11</f>
        <v>686.69</v>
      </c>
      <c r="X11" s="145">
        <f t="shared" si="4"/>
        <v>763.21</v>
      </c>
      <c r="Y11" s="162">
        <f>'Pri Sec_outstanding_6'!R11</f>
        <v>763</v>
      </c>
      <c r="Z11" s="145">
        <f t="shared" si="5"/>
        <v>0.21000000000003638</v>
      </c>
    </row>
    <row r="12" spans="1:26" ht="15" customHeight="1">
      <c r="A12" s="156">
        <v>7</v>
      </c>
      <c r="B12" s="131" t="s">
        <v>62</v>
      </c>
      <c r="C12" s="131">
        <v>0</v>
      </c>
      <c r="D12" s="131">
        <v>0</v>
      </c>
      <c r="E12" s="131">
        <v>18</v>
      </c>
      <c r="F12" s="131">
        <v>178.7</v>
      </c>
      <c r="G12" s="131">
        <v>8</v>
      </c>
      <c r="H12" s="131">
        <v>1139.41</v>
      </c>
      <c r="I12" s="131">
        <v>0</v>
      </c>
      <c r="J12" s="131">
        <v>0</v>
      </c>
      <c r="K12" s="131">
        <f t="shared" si="0"/>
        <v>26</v>
      </c>
      <c r="L12" s="131">
        <f t="shared" si="1"/>
        <v>1318.1100000000001</v>
      </c>
      <c r="M12" s="131">
        <v>93</v>
      </c>
      <c r="N12" s="131">
        <v>520.28</v>
      </c>
      <c r="O12" s="131">
        <v>1261</v>
      </c>
      <c r="P12" s="131">
        <v>26264.94</v>
      </c>
      <c r="Q12" s="131">
        <v>6835</v>
      </c>
      <c r="R12" s="131">
        <v>1115</v>
      </c>
      <c r="S12" s="131">
        <v>5833</v>
      </c>
      <c r="T12" s="131">
        <f>98935.42-2</f>
        <v>98933.42</v>
      </c>
      <c r="U12" s="131">
        <f t="shared" si="2"/>
        <v>14048</v>
      </c>
      <c r="V12" s="131">
        <f t="shared" si="3"/>
        <v>128151.75</v>
      </c>
      <c r="W12" s="145">
        <f>'Pri Sec_outstanding_6'!P12</f>
        <v>280512.04</v>
      </c>
      <c r="X12" s="145">
        <f t="shared" si="4"/>
        <v>408663.79</v>
      </c>
      <c r="Y12" s="162">
        <f>'Pri Sec_outstanding_6'!R12</f>
        <v>408664</v>
      </c>
      <c r="Z12" s="145">
        <f t="shared" si="5"/>
        <v>-0.21000000002095476</v>
      </c>
    </row>
    <row r="13" spans="1:26" ht="15" customHeight="1">
      <c r="A13" s="156">
        <v>8</v>
      </c>
      <c r="B13" s="131" t="s">
        <v>63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47</v>
      </c>
      <c r="J13" s="131">
        <v>126193.2413804</v>
      </c>
      <c r="K13" s="131">
        <f t="shared" si="0"/>
        <v>47</v>
      </c>
      <c r="L13" s="131">
        <f t="shared" si="1"/>
        <v>126193.2413804</v>
      </c>
      <c r="M13" s="131">
        <v>213</v>
      </c>
      <c r="N13" s="131">
        <v>2931</v>
      </c>
      <c r="O13" s="131">
        <v>477</v>
      </c>
      <c r="P13" s="131">
        <v>11993</v>
      </c>
      <c r="Q13" s="131">
        <v>3332</v>
      </c>
      <c r="R13" s="131">
        <v>5905</v>
      </c>
      <c r="S13" s="131">
        <v>2368</v>
      </c>
      <c r="T13" s="131">
        <v>157741</v>
      </c>
      <c r="U13" s="131">
        <f t="shared" si="2"/>
        <v>6437</v>
      </c>
      <c r="V13" s="131">
        <f t="shared" si="3"/>
        <v>304763.2413804</v>
      </c>
      <c r="W13" s="145">
        <f>'Pri Sec_outstanding_6'!P13</f>
        <v>899757.1099999999</v>
      </c>
      <c r="X13" s="145">
        <f t="shared" si="4"/>
        <v>1204520.3513804</v>
      </c>
      <c r="Y13" s="162">
        <f>'Pri Sec_outstanding_6'!R13</f>
        <v>1204520</v>
      </c>
      <c r="Z13" s="145">
        <f t="shared" si="5"/>
        <v>0.3513803998939693</v>
      </c>
    </row>
    <row r="14" spans="1:26" ht="15" customHeight="1">
      <c r="A14" s="156">
        <v>9</v>
      </c>
      <c r="B14" s="153" t="s">
        <v>50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15</v>
      </c>
      <c r="J14" s="131">
        <v>2340</v>
      </c>
      <c r="K14" s="131">
        <f t="shared" si="0"/>
        <v>15</v>
      </c>
      <c r="L14" s="131">
        <f t="shared" si="1"/>
        <v>2340</v>
      </c>
      <c r="M14" s="131">
        <v>12</v>
      </c>
      <c r="N14" s="131">
        <v>49</v>
      </c>
      <c r="O14" s="131">
        <v>59</v>
      </c>
      <c r="P14" s="131">
        <v>5169</v>
      </c>
      <c r="Q14" s="131">
        <v>152</v>
      </c>
      <c r="R14" s="131">
        <v>17213</v>
      </c>
      <c r="S14" s="131">
        <v>814</v>
      </c>
      <c r="T14" s="131">
        <f>165664-79089</f>
        <v>86575</v>
      </c>
      <c r="U14" s="131">
        <f t="shared" si="2"/>
        <v>1052</v>
      </c>
      <c r="V14" s="131">
        <f t="shared" si="3"/>
        <v>111346</v>
      </c>
      <c r="W14" s="145">
        <f>'Pri Sec_outstanding_6'!P14</f>
        <v>167314.71000000002</v>
      </c>
      <c r="X14" s="145">
        <f t="shared" si="4"/>
        <v>278660.71</v>
      </c>
      <c r="Y14" s="162">
        <f>'Pri Sec_outstanding_6'!R14</f>
        <v>278661</v>
      </c>
      <c r="Z14" s="145">
        <f t="shared" si="5"/>
        <v>-0.28999999997904524</v>
      </c>
    </row>
    <row r="15" spans="1:26" ht="15" customHeight="1">
      <c r="A15" s="156">
        <v>10</v>
      </c>
      <c r="B15" s="153" t="s">
        <v>51</v>
      </c>
      <c r="C15" s="131">
        <v>0</v>
      </c>
      <c r="D15" s="131">
        <v>0</v>
      </c>
      <c r="E15" s="131">
        <v>3</v>
      </c>
      <c r="F15" s="131">
        <v>645</v>
      </c>
      <c r="G15" s="131">
        <v>0</v>
      </c>
      <c r="H15" s="131">
        <v>0</v>
      </c>
      <c r="I15" s="131">
        <v>0</v>
      </c>
      <c r="J15" s="131">
        <v>0</v>
      </c>
      <c r="K15" s="131">
        <f t="shared" si="0"/>
        <v>3</v>
      </c>
      <c r="L15" s="131">
        <f t="shared" si="1"/>
        <v>645</v>
      </c>
      <c r="M15" s="131">
        <v>5</v>
      </c>
      <c r="N15" s="131">
        <v>66</v>
      </c>
      <c r="O15" s="131">
        <v>378</v>
      </c>
      <c r="P15" s="131">
        <v>6744</v>
      </c>
      <c r="Q15" s="131">
        <v>3234</v>
      </c>
      <c r="R15" s="131">
        <v>5897</v>
      </c>
      <c r="S15" s="131">
        <v>1640</v>
      </c>
      <c r="T15" s="131">
        <f>97072-54184</f>
        <v>42888</v>
      </c>
      <c r="U15" s="131">
        <f t="shared" si="2"/>
        <v>5260</v>
      </c>
      <c r="V15" s="131">
        <f t="shared" si="3"/>
        <v>56240</v>
      </c>
      <c r="W15" s="145">
        <f>'Pri Sec_outstanding_6'!P15</f>
        <v>123660.89</v>
      </c>
      <c r="X15" s="145">
        <f t="shared" si="4"/>
        <v>179900.89</v>
      </c>
      <c r="Y15" s="162">
        <f>'Pri Sec_outstanding_6'!R15</f>
        <v>179901</v>
      </c>
      <c r="Z15" s="145">
        <f t="shared" si="5"/>
        <v>-0.10999999998603016</v>
      </c>
    </row>
    <row r="16" spans="1:26" ht="15" customHeight="1">
      <c r="A16" s="156">
        <v>11</v>
      </c>
      <c r="B16" s="153" t="s">
        <v>290</v>
      </c>
      <c r="C16" s="131">
        <v>2</v>
      </c>
      <c r="D16" s="131">
        <v>178</v>
      </c>
      <c r="E16" s="131">
        <v>4</v>
      </c>
      <c r="F16" s="131">
        <v>2499</v>
      </c>
      <c r="G16" s="131">
        <v>13</v>
      </c>
      <c r="H16" s="131">
        <v>72825</v>
      </c>
      <c r="I16" s="131">
        <v>0</v>
      </c>
      <c r="J16" s="131">
        <v>0</v>
      </c>
      <c r="K16" s="131">
        <f t="shared" si="0"/>
        <v>17</v>
      </c>
      <c r="L16" s="131">
        <f t="shared" si="1"/>
        <v>75324</v>
      </c>
      <c r="M16" s="131">
        <v>13</v>
      </c>
      <c r="N16" s="131">
        <v>152</v>
      </c>
      <c r="O16" s="131">
        <v>1505</v>
      </c>
      <c r="P16" s="131">
        <v>48817</v>
      </c>
      <c r="Q16" s="131">
        <v>7725</v>
      </c>
      <c r="R16" s="131">
        <v>51832</v>
      </c>
      <c r="S16" s="131">
        <v>263</v>
      </c>
      <c r="T16" s="131">
        <v>27391</v>
      </c>
      <c r="U16" s="131">
        <f t="shared" si="2"/>
        <v>9525</v>
      </c>
      <c r="V16" s="131">
        <f t="shared" si="3"/>
        <v>203694</v>
      </c>
      <c r="W16" s="145">
        <f>'Pri Sec_outstanding_6'!P16</f>
        <v>196833</v>
      </c>
      <c r="X16" s="145">
        <f t="shared" si="4"/>
        <v>400527</v>
      </c>
      <c r="Y16" s="162">
        <f>'Pri Sec_outstanding_6'!R16</f>
        <v>400527</v>
      </c>
      <c r="Z16" s="145">
        <f t="shared" si="5"/>
        <v>0</v>
      </c>
    </row>
    <row r="17" spans="1:26" ht="15" customHeight="1">
      <c r="A17" s="156">
        <v>12</v>
      </c>
      <c r="B17" s="153" t="s">
        <v>64</v>
      </c>
      <c r="C17" s="131">
        <v>0</v>
      </c>
      <c r="D17" s="131">
        <v>0</v>
      </c>
      <c r="E17" s="131">
        <v>1</v>
      </c>
      <c r="F17" s="131">
        <v>23.65</v>
      </c>
      <c r="G17" s="131">
        <v>0</v>
      </c>
      <c r="H17" s="131">
        <v>0</v>
      </c>
      <c r="I17" s="131">
        <v>0</v>
      </c>
      <c r="J17" s="131">
        <v>0</v>
      </c>
      <c r="K17" s="131">
        <f t="shared" si="0"/>
        <v>1</v>
      </c>
      <c r="L17" s="131">
        <f t="shared" si="1"/>
        <v>23.65</v>
      </c>
      <c r="M17" s="131">
        <v>0</v>
      </c>
      <c r="N17" s="131">
        <v>0</v>
      </c>
      <c r="O17" s="131">
        <v>0</v>
      </c>
      <c r="P17" s="131">
        <v>0</v>
      </c>
      <c r="Q17" s="131">
        <v>555</v>
      </c>
      <c r="R17" s="131">
        <v>587.1</v>
      </c>
      <c r="S17" s="131">
        <v>1201</v>
      </c>
      <c r="T17" s="131">
        <f>55110.63+1115</f>
        <v>56225.63</v>
      </c>
      <c r="U17" s="131">
        <f t="shared" si="2"/>
        <v>1757</v>
      </c>
      <c r="V17" s="131">
        <f t="shared" si="3"/>
        <v>56836.38</v>
      </c>
      <c r="W17" s="145">
        <f>'Pri Sec_outstanding_6'!P17</f>
        <v>12848.630000000001</v>
      </c>
      <c r="X17" s="145">
        <f t="shared" si="4"/>
        <v>69685.01</v>
      </c>
      <c r="Y17" s="162">
        <f>'Pri Sec_outstanding_6'!R17</f>
        <v>69684.91</v>
      </c>
      <c r="Z17" s="145">
        <f t="shared" si="5"/>
        <v>0.09999999999126885</v>
      </c>
    </row>
    <row r="18" spans="1:26" ht="15" customHeight="1">
      <c r="A18" s="156">
        <v>13</v>
      </c>
      <c r="B18" s="153" t="s">
        <v>65</v>
      </c>
      <c r="C18" s="131">
        <v>1</v>
      </c>
      <c r="D18" s="131">
        <v>138</v>
      </c>
      <c r="E18" s="131">
        <v>0</v>
      </c>
      <c r="F18" s="131">
        <v>0</v>
      </c>
      <c r="G18" s="131">
        <v>0</v>
      </c>
      <c r="H18" s="131">
        <v>0</v>
      </c>
      <c r="I18" s="131">
        <v>12</v>
      </c>
      <c r="J18" s="131">
        <v>32935</v>
      </c>
      <c r="K18" s="131">
        <f t="shared" si="0"/>
        <v>12</v>
      </c>
      <c r="L18" s="131">
        <f t="shared" si="1"/>
        <v>32935</v>
      </c>
      <c r="M18" s="131">
        <v>1</v>
      </c>
      <c r="N18" s="131">
        <v>0</v>
      </c>
      <c r="O18" s="131">
        <v>36</v>
      </c>
      <c r="P18" s="131">
        <v>1409</v>
      </c>
      <c r="Q18" s="131">
        <v>1031</v>
      </c>
      <c r="R18" s="131">
        <v>1309.8</v>
      </c>
      <c r="S18" s="131">
        <v>2021</v>
      </c>
      <c r="T18" s="131">
        <f>8515.12-18+12</f>
        <v>8509.12</v>
      </c>
      <c r="U18" s="131">
        <f t="shared" si="2"/>
        <v>3102</v>
      </c>
      <c r="V18" s="131">
        <f t="shared" si="3"/>
        <v>44300.92</v>
      </c>
      <c r="W18" s="145">
        <f>'Pri Sec_outstanding_6'!P18</f>
        <v>50672.8</v>
      </c>
      <c r="X18" s="145">
        <f t="shared" si="4"/>
        <v>94973.72</v>
      </c>
      <c r="Y18" s="162">
        <f>'Pri Sec_outstanding_6'!R18</f>
        <v>94974</v>
      </c>
      <c r="Z18" s="145">
        <f t="shared" si="5"/>
        <v>-0.27999999999883585</v>
      </c>
    </row>
    <row r="19" spans="1:26" ht="15" customHeight="1">
      <c r="A19" s="156">
        <v>14</v>
      </c>
      <c r="B19" s="151" t="s">
        <v>316</v>
      </c>
      <c r="C19" s="131">
        <v>3</v>
      </c>
      <c r="D19" s="131">
        <v>161.63</v>
      </c>
      <c r="E19" s="131">
        <v>5</v>
      </c>
      <c r="F19" s="131">
        <v>857.51</v>
      </c>
      <c r="G19" s="131">
        <v>4</v>
      </c>
      <c r="H19" s="131">
        <v>827.34</v>
      </c>
      <c r="I19" s="131">
        <v>45</v>
      </c>
      <c r="J19" s="131">
        <v>2377.89</v>
      </c>
      <c r="K19" s="131">
        <f t="shared" si="0"/>
        <v>54</v>
      </c>
      <c r="L19" s="131">
        <f t="shared" si="1"/>
        <v>4062.74</v>
      </c>
      <c r="M19" s="131">
        <v>29</v>
      </c>
      <c r="N19" s="131">
        <v>216.1</v>
      </c>
      <c r="O19" s="131">
        <v>670</v>
      </c>
      <c r="P19" s="131">
        <v>8521.02</v>
      </c>
      <c r="Q19" s="131">
        <v>1627</v>
      </c>
      <c r="R19" s="131">
        <v>2218.78</v>
      </c>
      <c r="S19" s="131">
        <v>4489</v>
      </c>
      <c r="T19" s="131">
        <f>72876.13+18</f>
        <v>72894.13</v>
      </c>
      <c r="U19" s="131">
        <f t="shared" si="2"/>
        <v>6872</v>
      </c>
      <c r="V19" s="131">
        <f t="shared" si="3"/>
        <v>88074.40000000002</v>
      </c>
      <c r="W19" s="145">
        <f>'Pri Sec_outstanding_6'!P19</f>
        <v>124924.23</v>
      </c>
      <c r="X19" s="145">
        <f t="shared" si="4"/>
        <v>212998.63</v>
      </c>
      <c r="Y19" s="162">
        <f>'Pri Sec_outstanding_6'!R19</f>
        <v>212999</v>
      </c>
      <c r="Z19" s="145">
        <f t="shared" si="5"/>
        <v>-0.3699999999953434</v>
      </c>
    </row>
    <row r="20" spans="1:26" ht="15" customHeight="1">
      <c r="A20" s="156">
        <v>15</v>
      </c>
      <c r="B20" s="153" t="s">
        <v>292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4</v>
      </c>
      <c r="J20" s="131">
        <v>2901</v>
      </c>
      <c r="K20" s="131">
        <f t="shared" si="0"/>
        <v>4</v>
      </c>
      <c r="L20" s="131">
        <f t="shared" si="1"/>
        <v>2901</v>
      </c>
      <c r="M20" s="131">
        <v>0</v>
      </c>
      <c r="N20" s="131">
        <v>0</v>
      </c>
      <c r="O20" s="131">
        <v>63</v>
      </c>
      <c r="P20" s="131">
        <v>1988</v>
      </c>
      <c r="Q20" s="131">
        <v>30</v>
      </c>
      <c r="R20" s="131">
        <v>150</v>
      </c>
      <c r="S20" s="131">
        <v>0</v>
      </c>
      <c r="T20" s="131">
        <v>0</v>
      </c>
      <c r="U20" s="131">
        <f t="shared" si="2"/>
        <v>97</v>
      </c>
      <c r="V20" s="131">
        <f t="shared" si="3"/>
        <v>5039</v>
      </c>
      <c r="W20" s="145">
        <f>'Pri Sec_outstanding_6'!P20</f>
        <v>58527.689999999995</v>
      </c>
      <c r="X20" s="145">
        <f t="shared" si="4"/>
        <v>63566.689999999995</v>
      </c>
      <c r="Y20" s="162">
        <f>'Pri Sec_outstanding_6'!R20</f>
        <v>63567</v>
      </c>
      <c r="Z20" s="145">
        <f t="shared" si="5"/>
        <v>-0.31000000000494765</v>
      </c>
    </row>
    <row r="21" spans="1:26" ht="15" customHeight="1">
      <c r="A21" s="156">
        <v>16</v>
      </c>
      <c r="B21" s="153" t="s">
        <v>66</v>
      </c>
      <c r="C21" s="131">
        <v>8</v>
      </c>
      <c r="D21" s="131">
        <v>80940</v>
      </c>
      <c r="E21" s="131">
        <v>11</v>
      </c>
      <c r="F21" s="131">
        <v>3304</v>
      </c>
      <c r="G21" s="131">
        <v>30</v>
      </c>
      <c r="H21" s="131">
        <v>36981</v>
      </c>
      <c r="I21" s="131">
        <v>7</v>
      </c>
      <c r="J21" s="131">
        <v>11880</v>
      </c>
      <c r="K21" s="131">
        <f t="shared" si="0"/>
        <v>48</v>
      </c>
      <c r="L21" s="131">
        <f t="shared" si="1"/>
        <v>52165</v>
      </c>
      <c r="M21" s="131">
        <v>26</v>
      </c>
      <c r="N21" s="131">
        <v>663</v>
      </c>
      <c r="O21" s="131">
        <v>1988</v>
      </c>
      <c r="P21" s="131">
        <v>61604</v>
      </c>
      <c r="Q21" s="131">
        <v>22906</v>
      </c>
      <c r="R21" s="131">
        <v>75712</v>
      </c>
      <c r="S21" s="131">
        <v>12334</v>
      </c>
      <c r="T21" s="131">
        <v>296664</v>
      </c>
      <c r="U21" s="131">
        <f t="shared" si="2"/>
        <v>37310</v>
      </c>
      <c r="V21" s="131">
        <f t="shared" si="3"/>
        <v>567748</v>
      </c>
      <c r="W21" s="145">
        <f>'Pri Sec_outstanding_6'!P21</f>
        <v>732202</v>
      </c>
      <c r="X21" s="145">
        <f t="shared" si="4"/>
        <v>1299950</v>
      </c>
      <c r="Y21" s="162">
        <f>'Pri Sec_outstanding_6'!R21</f>
        <v>1299950</v>
      </c>
      <c r="Z21" s="145">
        <f t="shared" si="5"/>
        <v>0</v>
      </c>
    </row>
    <row r="22" spans="1:26" ht="15" customHeight="1">
      <c r="A22" s="156">
        <v>17</v>
      </c>
      <c r="B22" s="152" t="s">
        <v>67</v>
      </c>
      <c r="C22" s="131">
        <v>16</v>
      </c>
      <c r="D22" s="131">
        <v>55</v>
      </c>
      <c r="E22" s="131">
        <v>244</v>
      </c>
      <c r="F22" s="131">
        <v>6854</v>
      </c>
      <c r="G22" s="131">
        <v>29</v>
      </c>
      <c r="H22" s="131">
        <v>1059</v>
      </c>
      <c r="I22" s="131">
        <v>0</v>
      </c>
      <c r="J22" s="131">
        <v>0</v>
      </c>
      <c r="K22" s="131">
        <f t="shared" si="0"/>
        <v>273</v>
      </c>
      <c r="L22" s="131">
        <f t="shared" si="1"/>
        <v>7913</v>
      </c>
      <c r="M22" s="131">
        <v>23</v>
      </c>
      <c r="N22" s="131">
        <v>36</v>
      </c>
      <c r="O22" s="131">
        <v>121</v>
      </c>
      <c r="P22" s="131">
        <v>2539</v>
      </c>
      <c r="Q22" s="131">
        <v>4732</v>
      </c>
      <c r="R22" s="131">
        <v>6152</v>
      </c>
      <c r="S22" s="131">
        <v>9884</v>
      </c>
      <c r="T22" s="131">
        <f>61759-9345</f>
        <v>52414</v>
      </c>
      <c r="U22" s="131">
        <f t="shared" si="2"/>
        <v>15049</v>
      </c>
      <c r="V22" s="131">
        <f t="shared" si="3"/>
        <v>69109</v>
      </c>
      <c r="W22" s="145">
        <f>'Pri Sec_outstanding_6'!P22</f>
        <v>70493</v>
      </c>
      <c r="X22" s="145">
        <f t="shared" si="4"/>
        <v>139602</v>
      </c>
      <c r="Y22" s="162">
        <f>'Pri Sec_outstanding_6'!R22</f>
        <v>139602</v>
      </c>
      <c r="Z22" s="145">
        <f t="shared" si="5"/>
        <v>0</v>
      </c>
    </row>
    <row r="23" spans="1:26" ht="15" customHeight="1">
      <c r="A23" s="156">
        <v>18</v>
      </c>
      <c r="B23" s="153" t="s">
        <v>253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f t="shared" si="0"/>
        <v>0</v>
      </c>
      <c r="L23" s="131">
        <f t="shared" si="1"/>
        <v>0</v>
      </c>
      <c r="M23" s="131">
        <v>424</v>
      </c>
      <c r="N23" s="131">
        <v>1190</v>
      </c>
      <c r="O23" s="131">
        <v>0</v>
      </c>
      <c r="P23" s="131">
        <v>0</v>
      </c>
      <c r="Q23" s="131">
        <v>2654</v>
      </c>
      <c r="R23" s="131">
        <v>2234</v>
      </c>
      <c r="S23" s="131">
        <v>0</v>
      </c>
      <c r="T23" s="131">
        <v>0</v>
      </c>
      <c r="U23" s="131">
        <f t="shared" si="2"/>
        <v>3078</v>
      </c>
      <c r="V23" s="131">
        <f t="shared" si="3"/>
        <v>3424</v>
      </c>
      <c r="W23" s="145">
        <f>'Pri Sec_outstanding_6'!P23</f>
        <v>438303</v>
      </c>
      <c r="X23" s="145">
        <f t="shared" si="4"/>
        <v>441727</v>
      </c>
      <c r="Y23" s="162">
        <f>'Pri Sec_outstanding_6'!R23</f>
        <v>441727</v>
      </c>
      <c r="Z23" s="145">
        <f t="shared" si="5"/>
        <v>0</v>
      </c>
    </row>
    <row r="24" spans="1:26" ht="15" customHeight="1">
      <c r="A24" s="156">
        <v>19</v>
      </c>
      <c r="B24" s="154" t="s">
        <v>68</v>
      </c>
      <c r="C24" s="131">
        <v>0</v>
      </c>
      <c r="D24" s="131">
        <v>0</v>
      </c>
      <c r="E24" s="131">
        <v>4</v>
      </c>
      <c r="F24" s="131">
        <v>3094.35</v>
      </c>
      <c r="G24" s="131">
        <v>10</v>
      </c>
      <c r="H24" s="131">
        <v>16619.79</v>
      </c>
      <c r="I24" s="131">
        <v>8</v>
      </c>
      <c r="J24" s="131">
        <v>19976.14</v>
      </c>
      <c r="K24" s="131">
        <f t="shared" si="0"/>
        <v>22</v>
      </c>
      <c r="L24" s="131">
        <f t="shared" si="1"/>
        <v>39690.28</v>
      </c>
      <c r="M24" s="131">
        <v>469</v>
      </c>
      <c r="N24" s="131">
        <v>1773.61</v>
      </c>
      <c r="O24" s="131">
        <v>1926</v>
      </c>
      <c r="P24" s="131">
        <v>26164.34</v>
      </c>
      <c r="Q24" s="131">
        <v>9660</v>
      </c>
      <c r="R24" s="131">
        <v>22286.52</v>
      </c>
      <c r="S24" s="131">
        <v>15536</v>
      </c>
      <c r="T24" s="131">
        <v>134475.94</v>
      </c>
      <c r="U24" s="131">
        <f t="shared" si="2"/>
        <v>27613</v>
      </c>
      <c r="V24" s="131">
        <f t="shared" si="3"/>
        <v>224390.68999999997</v>
      </c>
      <c r="W24" s="145">
        <f>'Pri Sec_outstanding_6'!P24</f>
        <v>547588.75</v>
      </c>
      <c r="X24" s="145">
        <f t="shared" si="4"/>
        <v>771979.44</v>
      </c>
      <c r="Y24" s="162">
        <f>'Pri Sec_outstanding_6'!R24</f>
        <v>771979.34</v>
      </c>
      <c r="Z24" s="145">
        <f t="shared" si="5"/>
        <v>0.09999999997671694</v>
      </c>
    </row>
    <row r="25" spans="1:26" ht="15" customHeight="1">
      <c r="A25" s="156">
        <v>20</v>
      </c>
      <c r="B25" s="153" t="s">
        <v>69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f t="shared" si="0"/>
        <v>0</v>
      </c>
      <c r="L25" s="131">
        <f t="shared" si="1"/>
        <v>0</v>
      </c>
      <c r="M25" s="131">
        <v>13</v>
      </c>
      <c r="N25" s="131">
        <v>35</v>
      </c>
      <c r="O25" s="131">
        <v>21</v>
      </c>
      <c r="P25" s="131">
        <v>693</v>
      </c>
      <c r="Q25" s="131">
        <v>114</v>
      </c>
      <c r="R25" s="131">
        <v>92</v>
      </c>
      <c r="S25" s="131">
        <v>359</v>
      </c>
      <c r="T25" s="131">
        <f>19873-9908</f>
        <v>9965</v>
      </c>
      <c r="U25" s="131">
        <f t="shared" si="2"/>
        <v>507</v>
      </c>
      <c r="V25" s="131">
        <f t="shared" si="3"/>
        <v>10785</v>
      </c>
      <c r="W25" s="145">
        <f>'Pri Sec_outstanding_6'!P25</f>
        <v>22074</v>
      </c>
      <c r="X25" s="145">
        <f t="shared" si="4"/>
        <v>32859</v>
      </c>
      <c r="Y25" s="162">
        <f>'Pri Sec_outstanding_6'!R25</f>
        <v>32858</v>
      </c>
      <c r="Z25" s="145">
        <f t="shared" si="5"/>
        <v>1</v>
      </c>
    </row>
    <row r="26" spans="1:26" ht="15" customHeight="1">
      <c r="A26" s="156">
        <v>21</v>
      </c>
      <c r="B26" s="153" t="s">
        <v>52</v>
      </c>
      <c r="C26" s="131">
        <v>0</v>
      </c>
      <c r="D26" s="131">
        <v>0</v>
      </c>
      <c r="E26" s="131">
        <v>0</v>
      </c>
      <c r="F26" s="131">
        <v>0</v>
      </c>
      <c r="G26" s="131">
        <v>3</v>
      </c>
      <c r="H26" s="131">
        <v>219.03</v>
      </c>
      <c r="I26" s="131">
        <v>7</v>
      </c>
      <c r="J26" s="131">
        <v>976.36</v>
      </c>
      <c r="K26" s="131">
        <f t="shared" si="0"/>
        <v>10</v>
      </c>
      <c r="L26" s="131">
        <f t="shared" si="1"/>
        <v>1195.39</v>
      </c>
      <c r="M26" s="131">
        <v>0</v>
      </c>
      <c r="N26" s="131">
        <v>0</v>
      </c>
      <c r="O26" s="131">
        <v>220</v>
      </c>
      <c r="P26" s="131">
        <v>3907.97</v>
      </c>
      <c r="Q26" s="131">
        <v>383</v>
      </c>
      <c r="R26" s="131">
        <v>613.12</v>
      </c>
      <c r="S26" s="131">
        <v>1263</v>
      </c>
      <c r="T26" s="131">
        <v>9169.83</v>
      </c>
      <c r="U26" s="131">
        <f t="shared" si="2"/>
        <v>1876</v>
      </c>
      <c r="V26" s="131">
        <f t="shared" si="3"/>
        <v>14886.31</v>
      </c>
      <c r="W26" s="145">
        <f>'Pri Sec_outstanding_6'!P26</f>
        <v>57127.55</v>
      </c>
      <c r="X26" s="145">
        <f t="shared" si="4"/>
        <v>72013.86</v>
      </c>
      <c r="Y26" s="162">
        <f>'Pri Sec_outstanding_6'!R26</f>
        <v>72014</v>
      </c>
      <c r="Z26" s="145">
        <f t="shared" si="5"/>
        <v>-0.13999999999941792</v>
      </c>
    </row>
    <row r="27" spans="1:26" s="146" customFormat="1" ht="15" customHeight="1">
      <c r="A27" s="155"/>
      <c r="B27" s="158" t="s">
        <v>293</v>
      </c>
      <c r="C27" s="138">
        <f>SUM(C6:C26)</f>
        <v>16736</v>
      </c>
      <c r="D27" s="138">
        <f aca="true" t="shared" si="6" ref="D27:V27">SUM(D6:D26)</f>
        <v>146895.63</v>
      </c>
      <c r="E27" s="138">
        <f t="shared" si="6"/>
        <v>1033</v>
      </c>
      <c r="F27" s="138">
        <f t="shared" si="6"/>
        <v>76638.51000000001</v>
      </c>
      <c r="G27" s="138">
        <f t="shared" si="6"/>
        <v>300</v>
      </c>
      <c r="H27" s="138">
        <f t="shared" si="6"/>
        <v>211274.44</v>
      </c>
      <c r="I27" s="138">
        <f t="shared" si="6"/>
        <v>345</v>
      </c>
      <c r="J27" s="138">
        <f t="shared" si="6"/>
        <v>265468.8013804</v>
      </c>
      <c r="K27" s="138">
        <f t="shared" si="0"/>
        <v>1678</v>
      </c>
      <c r="L27" s="138">
        <f t="shared" si="1"/>
        <v>553381.7513804</v>
      </c>
      <c r="M27" s="138">
        <f t="shared" si="6"/>
        <v>1615</v>
      </c>
      <c r="N27" s="138">
        <f t="shared" si="6"/>
        <v>10397.990000000002</v>
      </c>
      <c r="O27" s="138">
        <f t="shared" si="6"/>
        <v>11078</v>
      </c>
      <c r="P27" s="138">
        <f t="shared" si="6"/>
        <v>245458.52</v>
      </c>
      <c r="Q27" s="138">
        <f t="shared" si="6"/>
        <v>77984</v>
      </c>
      <c r="R27" s="138">
        <f t="shared" si="6"/>
        <v>214025.74999999997</v>
      </c>
      <c r="S27" s="138">
        <f t="shared" si="6"/>
        <v>78666</v>
      </c>
      <c r="T27" s="138">
        <f t="shared" si="6"/>
        <v>1794910.3900000001</v>
      </c>
      <c r="U27" s="138">
        <f t="shared" si="6"/>
        <v>187757</v>
      </c>
      <c r="V27" s="138">
        <f t="shared" si="6"/>
        <v>2965070.0313803996</v>
      </c>
      <c r="W27" s="146">
        <f>'Pri Sec_outstanding_6'!P27</f>
        <v>6295063.1466321</v>
      </c>
      <c r="X27" s="146">
        <f t="shared" si="4"/>
        <v>9260133.1780125</v>
      </c>
      <c r="Y27" s="164">
        <f>'Pri Sec_outstanding_6'!R27</f>
        <v>9260133.25</v>
      </c>
      <c r="Z27" s="146">
        <f t="shared" si="5"/>
        <v>-0.07198750041425228</v>
      </c>
    </row>
    <row r="28" spans="1:26" ht="15" customHeight="1">
      <c r="A28" s="156">
        <v>22</v>
      </c>
      <c r="B28" s="153" t="s">
        <v>294</v>
      </c>
      <c r="C28" s="131">
        <v>0</v>
      </c>
      <c r="D28" s="131">
        <v>0</v>
      </c>
      <c r="E28" s="131">
        <v>5</v>
      </c>
      <c r="F28" s="131">
        <v>59.31</v>
      </c>
      <c r="G28" s="131">
        <v>0</v>
      </c>
      <c r="H28" s="131">
        <v>0</v>
      </c>
      <c r="I28" s="131">
        <v>1</v>
      </c>
      <c r="J28" s="131">
        <v>1169.91</v>
      </c>
      <c r="K28" s="131">
        <f t="shared" si="0"/>
        <v>6</v>
      </c>
      <c r="L28" s="131">
        <f t="shared" si="1"/>
        <v>1229.22</v>
      </c>
      <c r="M28" s="131">
        <v>0</v>
      </c>
      <c r="N28" s="131">
        <v>0</v>
      </c>
      <c r="O28" s="131">
        <v>34</v>
      </c>
      <c r="P28" s="131">
        <v>1392</v>
      </c>
      <c r="Q28" s="131">
        <v>2</v>
      </c>
      <c r="R28" s="131">
        <v>26</v>
      </c>
      <c r="S28" s="131">
        <v>35</v>
      </c>
      <c r="T28" s="131">
        <f>1332.46+25672</f>
        <v>27004.46</v>
      </c>
      <c r="U28" s="131">
        <f t="shared" si="2"/>
        <v>77</v>
      </c>
      <c r="V28" s="131">
        <f t="shared" si="3"/>
        <v>29651.68</v>
      </c>
      <c r="W28" s="145">
        <f>'Pri Sec_outstanding_6'!P28</f>
        <v>5157.2</v>
      </c>
      <c r="X28" s="145">
        <f t="shared" si="4"/>
        <v>34808.88</v>
      </c>
      <c r="Y28" s="162">
        <f>'Pri Sec_outstanding_6'!R28</f>
        <v>34809</v>
      </c>
      <c r="Z28" s="145">
        <f t="shared" si="5"/>
        <v>-0.12000000000261934</v>
      </c>
    </row>
    <row r="29" spans="1:26" ht="15" customHeight="1">
      <c r="A29" s="156">
        <v>23</v>
      </c>
      <c r="B29" s="153" t="s">
        <v>295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/>
      <c r="N29" s="131"/>
      <c r="O29" s="131">
        <v>19</v>
      </c>
      <c r="P29" s="131">
        <v>641</v>
      </c>
      <c r="Q29" s="131">
        <v>144</v>
      </c>
      <c r="R29" s="131">
        <v>1107</v>
      </c>
      <c r="S29" s="131">
        <v>30</v>
      </c>
      <c r="T29" s="131">
        <f>65.82+56489</f>
        <v>56554.82</v>
      </c>
      <c r="U29" s="131">
        <f t="shared" si="2"/>
        <v>193</v>
      </c>
      <c r="V29" s="131">
        <f t="shared" si="3"/>
        <v>58302.82</v>
      </c>
      <c r="W29" s="145">
        <f>'Pri Sec_outstanding_6'!P29</f>
        <v>2847.04</v>
      </c>
      <c r="X29" s="145">
        <f t="shared" si="4"/>
        <v>61149.86</v>
      </c>
      <c r="Y29" s="162">
        <f>'Pri Sec_outstanding_6'!R29</f>
        <v>61150</v>
      </c>
      <c r="Z29" s="145">
        <f t="shared" si="5"/>
        <v>-0.13999999999941792</v>
      </c>
    </row>
    <row r="30" spans="1:26" ht="15" customHeight="1">
      <c r="A30" s="156">
        <v>24</v>
      </c>
      <c r="B30" s="153" t="s">
        <v>296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f t="shared" si="0"/>
        <v>0</v>
      </c>
      <c r="L30" s="131">
        <f t="shared" si="1"/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1</v>
      </c>
      <c r="R30" s="131">
        <v>3.27</v>
      </c>
      <c r="S30" s="131">
        <v>212</v>
      </c>
      <c r="T30" s="131">
        <v>93342</v>
      </c>
      <c r="U30" s="131">
        <f t="shared" si="2"/>
        <v>213</v>
      </c>
      <c r="V30" s="131">
        <f t="shared" si="3"/>
        <v>93345.27</v>
      </c>
      <c r="W30" s="145">
        <f>'Pri Sec_outstanding_6'!P30</f>
        <v>3686.5399999999995</v>
      </c>
      <c r="X30" s="145">
        <f t="shared" si="4"/>
        <v>97031.81</v>
      </c>
      <c r="Y30" s="162">
        <f>'Pri Sec_outstanding_6'!R30</f>
        <v>97032</v>
      </c>
      <c r="Z30" s="145">
        <f t="shared" si="5"/>
        <v>-0.1900000000023283</v>
      </c>
    </row>
    <row r="31" spans="1:26" ht="15" customHeight="1">
      <c r="A31" s="156">
        <v>25</v>
      </c>
      <c r="B31" s="159" t="s">
        <v>297</v>
      </c>
      <c r="C31" s="131">
        <v>0</v>
      </c>
      <c r="D31" s="131">
        <v>0</v>
      </c>
      <c r="E31" s="131">
        <v>5</v>
      </c>
      <c r="F31" s="131">
        <v>305</v>
      </c>
      <c r="G31" s="131">
        <v>3</v>
      </c>
      <c r="H31" s="131">
        <v>243</v>
      </c>
      <c r="I31" s="131">
        <v>2</v>
      </c>
      <c r="J31" s="131">
        <v>406</v>
      </c>
      <c r="K31" s="131">
        <f t="shared" si="0"/>
        <v>10</v>
      </c>
      <c r="L31" s="131">
        <f t="shared" si="1"/>
        <v>954</v>
      </c>
      <c r="M31" s="131">
        <v>0</v>
      </c>
      <c r="N31" s="131">
        <v>0</v>
      </c>
      <c r="O31" s="131">
        <v>10</v>
      </c>
      <c r="P31" s="131">
        <v>543</v>
      </c>
      <c r="Q31" s="131">
        <v>0</v>
      </c>
      <c r="R31" s="131">
        <v>0</v>
      </c>
      <c r="S31" s="131">
        <v>17</v>
      </c>
      <c r="T31" s="131">
        <v>562</v>
      </c>
      <c r="U31" s="131">
        <f t="shared" si="2"/>
        <v>37</v>
      </c>
      <c r="V31" s="131">
        <f t="shared" si="3"/>
        <v>2059</v>
      </c>
      <c r="W31" s="145">
        <f>'Pri Sec_outstanding_6'!P31</f>
        <v>5858</v>
      </c>
      <c r="X31" s="145">
        <f t="shared" si="4"/>
        <v>7917</v>
      </c>
      <c r="Y31" s="162">
        <f>'Pri Sec_outstanding_6'!R31</f>
        <v>7917</v>
      </c>
      <c r="Z31" s="145">
        <f t="shared" si="5"/>
        <v>0</v>
      </c>
    </row>
    <row r="32" spans="1:26" ht="15" customHeight="1">
      <c r="A32" s="156">
        <v>26</v>
      </c>
      <c r="B32" s="153" t="s">
        <v>298</v>
      </c>
      <c r="C32" s="131"/>
      <c r="D32" s="131"/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f t="shared" si="0"/>
        <v>0</v>
      </c>
      <c r="L32" s="131">
        <f t="shared" si="1"/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319</v>
      </c>
      <c r="T32" s="131">
        <v>56088</v>
      </c>
      <c r="U32" s="131">
        <f t="shared" si="2"/>
        <v>319</v>
      </c>
      <c r="V32" s="131">
        <f t="shared" si="3"/>
        <v>56088</v>
      </c>
      <c r="W32" s="145">
        <f>'Pri Sec_outstanding_6'!P32</f>
        <v>25677.34</v>
      </c>
      <c r="X32" s="145">
        <f t="shared" si="4"/>
        <v>81765.34</v>
      </c>
      <c r="Y32" s="162">
        <f>'Pri Sec_outstanding_6'!R32</f>
        <v>81765</v>
      </c>
      <c r="Z32" s="145">
        <f t="shared" si="5"/>
        <v>0.33999999999650754</v>
      </c>
    </row>
    <row r="33" spans="1:26" ht="15" customHeight="1">
      <c r="A33" s="156">
        <v>27</v>
      </c>
      <c r="B33" s="153" t="s">
        <v>72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f t="shared" si="0"/>
        <v>0</v>
      </c>
      <c r="L33" s="131">
        <f t="shared" si="1"/>
        <v>0</v>
      </c>
      <c r="M33" s="131">
        <v>14142</v>
      </c>
      <c r="N33" s="131">
        <v>20852</v>
      </c>
      <c r="O33" s="131">
        <v>66039</v>
      </c>
      <c r="P33" s="131">
        <v>209704</v>
      </c>
      <c r="Q33" s="131">
        <v>702895</v>
      </c>
      <c r="R33" s="131">
        <v>717640</v>
      </c>
      <c r="S33" s="131">
        <v>2599</v>
      </c>
      <c r="T33" s="131">
        <v>1456829</v>
      </c>
      <c r="U33" s="131">
        <f t="shared" si="2"/>
        <v>785675</v>
      </c>
      <c r="V33" s="131">
        <f t="shared" si="3"/>
        <v>2405025</v>
      </c>
      <c r="W33" s="145">
        <f>'Pri Sec_outstanding_6'!P33</f>
        <v>3235353</v>
      </c>
      <c r="X33" s="145">
        <f t="shared" si="4"/>
        <v>5640378</v>
      </c>
      <c r="Y33" s="162">
        <f>'Pri Sec_outstanding_6'!R33</f>
        <v>5640378</v>
      </c>
      <c r="Z33" s="145">
        <f t="shared" si="5"/>
        <v>0</v>
      </c>
    </row>
    <row r="34" spans="1:26" s="146" customFormat="1" ht="15" customHeight="1">
      <c r="A34" s="155"/>
      <c r="B34" s="158" t="s">
        <v>299</v>
      </c>
      <c r="C34" s="138">
        <f>SUM(C28:C33)</f>
        <v>0</v>
      </c>
      <c r="D34" s="138">
        <f aca="true" t="shared" si="7" ref="D34:V34">SUM(D28:D33)</f>
        <v>0</v>
      </c>
      <c r="E34" s="138">
        <f t="shared" si="7"/>
        <v>10</v>
      </c>
      <c r="F34" s="138">
        <f t="shared" si="7"/>
        <v>364.31</v>
      </c>
      <c r="G34" s="138">
        <f t="shared" si="7"/>
        <v>3</v>
      </c>
      <c r="H34" s="138">
        <f t="shared" si="7"/>
        <v>243</v>
      </c>
      <c r="I34" s="138">
        <f t="shared" si="7"/>
        <v>3</v>
      </c>
      <c r="J34" s="138">
        <f t="shared" si="7"/>
        <v>1575.91</v>
      </c>
      <c r="K34" s="138">
        <f t="shared" si="0"/>
        <v>16</v>
      </c>
      <c r="L34" s="138">
        <f t="shared" si="1"/>
        <v>2183.2200000000003</v>
      </c>
      <c r="M34" s="138">
        <f t="shared" si="7"/>
        <v>14142</v>
      </c>
      <c r="N34" s="138">
        <f t="shared" si="7"/>
        <v>20852</v>
      </c>
      <c r="O34" s="138">
        <f t="shared" si="7"/>
        <v>66102</v>
      </c>
      <c r="P34" s="138">
        <f t="shared" si="7"/>
        <v>212280</v>
      </c>
      <c r="Q34" s="138">
        <f t="shared" si="7"/>
        <v>703042</v>
      </c>
      <c r="R34" s="138">
        <f t="shared" si="7"/>
        <v>718776.27</v>
      </c>
      <c r="S34" s="138">
        <f t="shared" si="7"/>
        <v>3212</v>
      </c>
      <c r="T34" s="138">
        <f t="shared" si="7"/>
        <v>1690380.28</v>
      </c>
      <c r="U34" s="138">
        <f t="shared" si="7"/>
        <v>786514</v>
      </c>
      <c r="V34" s="138">
        <f t="shared" si="7"/>
        <v>2644471.77</v>
      </c>
      <c r="W34" s="146">
        <f>'Pri Sec_outstanding_6'!P34</f>
        <v>3278579.12</v>
      </c>
      <c r="X34" s="146">
        <f t="shared" si="4"/>
        <v>5923050.890000001</v>
      </c>
      <c r="Y34" s="164">
        <f>'Pri Sec_outstanding_6'!R34</f>
        <v>5923051</v>
      </c>
      <c r="Z34" s="146">
        <f t="shared" si="5"/>
        <v>-0.10999999940395355</v>
      </c>
    </row>
    <row r="35" spans="1:26" ht="15" customHeight="1">
      <c r="A35" s="156">
        <v>28</v>
      </c>
      <c r="B35" s="153" t="s">
        <v>49</v>
      </c>
      <c r="C35" s="131">
        <v>0</v>
      </c>
      <c r="D35" s="131">
        <v>0</v>
      </c>
      <c r="E35" s="131">
        <v>129</v>
      </c>
      <c r="F35" s="131">
        <v>505.6</v>
      </c>
      <c r="G35" s="131">
        <v>14</v>
      </c>
      <c r="H35" s="131">
        <v>2340</v>
      </c>
      <c r="I35" s="131">
        <v>24</v>
      </c>
      <c r="J35" s="131">
        <v>8976.74</v>
      </c>
      <c r="K35" s="131">
        <f t="shared" si="0"/>
        <v>167</v>
      </c>
      <c r="L35" s="131">
        <f t="shared" si="1"/>
        <v>11822.34</v>
      </c>
      <c r="M35" s="131">
        <v>13</v>
      </c>
      <c r="N35" s="131">
        <v>179.29</v>
      </c>
      <c r="O35" s="131">
        <v>1944</v>
      </c>
      <c r="P35" s="131">
        <v>63818.38</v>
      </c>
      <c r="Q35" s="131">
        <v>5620</v>
      </c>
      <c r="R35" s="131">
        <v>42862.04</v>
      </c>
      <c r="S35" s="131">
        <v>13189</v>
      </c>
      <c r="T35" s="131">
        <v>178478.95</v>
      </c>
      <c r="U35" s="131">
        <f t="shared" si="2"/>
        <v>20933</v>
      </c>
      <c r="V35" s="131">
        <f t="shared" si="3"/>
        <v>297161</v>
      </c>
      <c r="W35" s="145">
        <f>'Pri Sec_outstanding_6'!P35</f>
        <v>274811.14</v>
      </c>
      <c r="X35" s="145">
        <f t="shared" si="4"/>
        <v>571972.14</v>
      </c>
      <c r="Y35" s="162">
        <f>'Pri Sec_outstanding_6'!R35</f>
        <v>571972</v>
      </c>
      <c r="Z35" s="145">
        <f t="shared" si="5"/>
        <v>0.14000000001396984</v>
      </c>
    </row>
    <row r="36" spans="1:26" ht="15" customHeight="1">
      <c r="A36" s="156">
        <v>29</v>
      </c>
      <c r="B36" s="131" t="s">
        <v>53</v>
      </c>
      <c r="C36" s="131">
        <v>0</v>
      </c>
      <c r="D36" s="131">
        <v>0</v>
      </c>
      <c r="E36" s="131">
        <v>3</v>
      </c>
      <c r="F36" s="131">
        <v>53.9061594</v>
      </c>
      <c r="G36" s="131">
        <v>0</v>
      </c>
      <c r="H36" s="131">
        <v>0</v>
      </c>
      <c r="I36" s="131">
        <v>4</v>
      </c>
      <c r="J36" s="131">
        <v>936.9</v>
      </c>
      <c r="K36" s="131">
        <f t="shared" si="0"/>
        <v>7</v>
      </c>
      <c r="L36" s="131">
        <f t="shared" si="1"/>
        <v>990.8061594</v>
      </c>
      <c r="M36" s="131">
        <v>1</v>
      </c>
      <c r="N36" s="131">
        <v>17.92549</v>
      </c>
      <c r="O36" s="131">
        <v>11</v>
      </c>
      <c r="P36" s="131">
        <v>396.0211118</v>
      </c>
      <c r="Q36" s="131">
        <v>96</v>
      </c>
      <c r="R36" s="131">
        <v>132.5</v>
      </c>
      <c r="S36" s="131">
        <v>41</v>
      </c>
      <c r="T36" s="131">
        <v>2118.0969134999996</v>
      </c>
      <c r="U36" s="131">
        <f t="shared" si="2"/>
        <v>156</v>
      </c>
      <c r="V36" s="131">
        <f t="shared" si="3"/>
        <v>3655.3496747</v>
      </c>
      <c r="W36" s="145">
        <f>'Pri Sec_outstanding_6'!P36</f>
        <v>5042.1859033</v>
      </c>
      <c r="X36" s="145">
        <f t="shared" si="4"/>
        <v>8697.535577999999</v>
      </c>
      <c r="Y36" s="162">
        <f>'Pri Sec_outstanding_6'!R36</f>
        <v>8698</v>
      </c>
      <c r="Z36" s="145">
        <f t="shared" si="5"/>
        <v>-0.4644220000009227</v>
      </c>
    </row>
    <row r="37" spans="1:26" ht="15" customHeight="1">
      <c r="A37" s="156">
        <v>30</v>
      </c>
      <c r="B37" s="131" t="s">
        <v>300</v>
      </c>
      <c r="C37" s="131"/>
      <c r="D37" s="131"/>
      <c r="E37" s="131"/>
      <c r="F37" s="131"/>
      <c r="G37" s="131"/>
      <c r="H37" s="131"/>
      <c r="I37" s="131"/>
      <c r="J37" s="131"/>
      <c r="K37" s="131">
        <f t="shared" si="0"/>
        <v>0</v>
      </c>
      <c r="L37" s="131">
        <f t="shared" si="1"/>
        <v>0</v>
      </c>
      <c r="M37" s="131"/>
      <c r="N37" s="131"/>
      <c r="O37" s="131"/>
      <c r="P37" s="131"/>
      <c r="Q37" s="131"/>
      <c r="R37" s="131"/>
      <c r="S37" s="131"/>
      <c r="T37" s="131">
        <f>'CD Ratio_3(i)'!F39-'Pri Sec_outstanding_6'!P37</f>
        <v>7650</v>
      </c>
      <c r="U37" s="131">
        <f t="shared" si="2"/>
        <v>0</v>
      </c>
      <c r="V37" s="131">
        <f t="shared" si="3"/>
        <v>7650</v>
      </c>
      <c r="W37" s="145">
        <f>'Pri Sec_outstanding_6'!P37</f>
        <v>31214</v>
      </c>
      <c r="X37" s="145">
        <f t="shared" si="4"/>
        <v>38864</v>
      </c>
      <c r="Y37" s="162">
        <f>'Pri Sec_outstanding_6'!R37</f>
        <v>38864</v>
      </c>
      <c r="Z37" s="145">
        <f t="shared" si="5"/>
        <v>0</v>
      </c>
    </row>
    <row r="38" spans="1:26" ht="15" customHeight="1">
      <c r="A38" s="156">
        <v>31</v>
      </c>
      <c r="B38" s="131" t="s">
        <v>301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f t="shared" si="0"/>
        <v>0</v>
      </c>
      <c r="L38" s="131">
        <f t="shared" si="1"/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f t="shared" si="2"/>
        <v>0</v>
      </c>
      <c r="V38" s="131">
        <f t="shared" si="3"/>
        <v>0</v>
      </c>
      <c r="W38" s="145">
        <f>'Pri Sec_outstanding_6'!P38</f>
        <v>28</v>
      </c>
      <c r="X38" s="145">
        <f t="shared" si="4"/>
        <v>28</v>
      </c>
      <c r="Y38" s="162">
        <f>'Pri Sec_outstanding_6'!R38</f>
        <v>28</v>
      </c>
      <c r="Z38" s="145">
        <f t="shared" si="5"/>
        <v>0</v>
      </c>
    </row>
    <row r="39" spans="1:26" ht="15" customHeight="1">
      <c r="A39" s="156">
        <v>32</v>
      </c>
      <c r="B39" s="131" t="s">
        <v>302</v>
      </c>
      <c r="C39" s="131">
        <v>0</v>
      </c>
      <c r="D39" s="131">
        <v>0</v>
      </c>
      <c r="E39" s="131">
        <v>1</v>
      </c>
      <c r="F39" s="131">
        <v>2008.23</v>
      </c>
      <c r="G39" s="131">
        <v>0</v>
      </c>
      <c r="H39" s="131">
        <v>0</v>
      </c>
      <c r="I39" s="131">
        <v>0</v>
      </c>
      <c r="J39" s="131">
        <v>0</v>
      </c>
      <c r="K39" s="131">
        <f t="shared" si="0"/>
        <v>1</v>
      </c>
      <c r="L39" s="131">
        <f t="shared" si="1"/>
        <v>2008.23</v>
      </c>
      <c r="M39" s="131">
        <v>0</v>
      </c>
      <c r="N39" s="131">
        <v>0</v>
      </c>
      <c r="O39" s="131">
        <v>19</v>
      </c>
      <c r="P39" s="131">
        <v>352.67</v>
      </c>
      <c r="Q39" s="131">
        <v>29</v>
      </c>
      <c r="R39" s="131">
        <v>45.71</v>
      </c>
      <c r="S39" s="131">
        <v>2311</v>
      </c>
      <c r="T39" s="131">
        <f>5099.24+49</f>
        <v>5148.24</v>
      </c>
      <c r="U39" s="131">
        <f t="shared" si="2"/>
        <v>2360</v>
      </c>
      <c r="V39" s="131">
        <f t="shared" si="3"/>
        <v>7554.85</v>
      </c>
      <c r="W39" s="145">
        <f>'Pri Sec_outstanding_6'!P39</f>
        <v>7704.56</v>
      </c>
      <c r="X39" s="145">
        <f t="shared" si="4"/>
        <v>15259.41</v>
      </c>
      <c r="Y39" s="162">
        <f>'Pri Sec_outstanding_6'!R39</f>
        <v>15259</v>
      </c>
      <c r="Z39" s="145">
        <f t="shared" si="5"/>
        <v>0.4099999999998545</v>
      </c>
    </row>
    <row r="40" spans="1:26" ht="15" customHeight="1">
      <c r="A40" s="156">
        <v>33</v>
      </c>
      <c r="B40" s="153" t="s">
        <v>303</v>
      </c>
      <c r="C40" s="131">
        <v>0</v>
      </c>
      <c r="D40" s="131">
        <v>0</v>
      </c>
      <c r="E40" s="131"/>
      <c r="F40" s="131"/>
      <c r="G40" s="131"/>
      <c r="H40" s="131"/>
      <c r="I40" s="131"/>
      <c r="J40" s="131"/>
      <c r="K40" s="131">
        <f t="shared" si="0"/>
        <v>0</v>
      </c>
      <c r="L40" s="131">
        <f t="shared" si="1"/>
        <v>0</v>
      </c>
      <c r="M40" s="131">
        <v>6</v>
      </c>
      <c r="N40" s="131">
        <v>26.97</v>
      </c>
      <c r="O40" s="131">
        <v>691</v>
      </c>
      <c r="P40" s="131">
        <v>15802.02</v>
      </c>
      <c r="Q40" s="131">
        <v>28905</v>
      </c>
      <c r="R40" s="131">
        <v>55550.5</v>
      </c>
      <c r="S40" s="131">
        <v>220856</v>
      </c>
      <c r="T40" s="131">
        <v>417731.97</v>
      </c>
      <c r="U40" s="131">
        <f t="shared" si="2"/>
        <v>250458</v>
      </c>
      <c r="V40" s="131">
        <f t="shared" si="3"/>
        <v>489111.45999999996</v>
      </c>
      <c r="W40" s="145">
        <f>'Pri Sec_outstanding_6'!P40</f>
        <v>632116.55</v>
      </c>
      <c r="X40" s="145">
        <f t="shared" si="4"/>
        <v>1121228.01</v>
      </c>
      <c r="Y40" s="162">
        <f>'Pri Sec_outstanding_6'!R40</f>
        <v>1121228</v>
      </c>
      <c r="Z40" s="145">
        <f t="shared" si="5"/>
        <v>0.010000000009313226</v>
      </c>
    </row>
    <row r="41" spans="1:26" ht="15" customHeight="1">
      <c r="A41" s="156">
        <v>34</v>
      </c>
      <c r="B41" s="153" t="s">
        <v>304</v>
      </c>
      <c r="C41" s="131">
        <v>0</v>
      </c>
      <c r="D41" s="131">
        <v>0</v>
      </c>
      <c r="E41" s="131">
        <v>1841</v>
      </c>
      <c r="F41" s="131">
        <v>1854.46</v>
      </c>
      <c r="G41" s="131">
        <v>19</v>
      </c>
      <c r="H41" s="131">
        <v>1624.54</v>
      </c>
      <c r="I41" s="131">
        <v>57</v>
      </c>
      <c r="J41" s="131">
        <v>4386.87</v>
      </c>
      <c r="K41" s="131">
        <f t="shared" si="0"/>
        <v>1917</v>
      </c>
      <c r="L41" s="131">
        <f t="shared" si="1"/>
        <v>7865.87</v>
      </c>
      <c r="M41" s="131">
        <v>0</v>
      </c>
      <c r="N41" s="131">
        <v>0</v>
      </c>
      <c r="O41" s="131">
        <v>3757</v>
      </c>
      <c r="P41" s="131">
        <v>75415.78</v>
      </c>
      <c r="Q41" s="131">
        <v>0</v>
      </c>
      <c r="R41" s="131">
        <v>0</v>
      </c>
      <c r="S41" s="131">
        <v>5643</v>
      </c>
      <c r="T41" s="131">
        <f>497667-433960</f>
        <v>63707</v>
      </c>
      <c r="U41" s="131">
        <f t="shared" si="2"/>
        <v>11317</v>
      </c>
      <c r="V41" s="131">
        <f t="shared" si="3"/>
        <v>146988.65</v>
      </c>
      <c r="W41" s="145">
        <f>'Pri Sec_outstanding_6'!P41</f>
        <v>891814.1328766</v>
      </c>
      <c r="X41" s="145">
        <f t="shared" si="4"/>
        <v>1038802.7828766</v>
      </c>
      <c r="Y41" s="162">
        <f>'Pri Sec_outstanding_6'!R41</f>
        <v>1038802.319</v>
      </c>
      <c r="Z41" s="145">
        <f t="shared" si="5"/>
        <v>0.4638766000280157</v>
      </c>
    </row>
    <row r="42" spans="1:26" ht="15" customHeight="1">
      <c r="A42" s="156">
        <v>35</v>
      </c>
      <c r="B42" s="153" t="s">
        <v>305</v>
      </c>
      <c r="C42" s="131"/>
      <c r="D42" s="131"/>
      <c r="E42" s="131"/>
      <c r="F42" s="131"/>
      <c r="G42" s="131"/>
      <c r="H42" s="131"/>
      <c r="I42" s="131"/>
      <c r="J42" s="131"/>
      <c r="K42" s="131">
        <f t="shared" si="0"/>
        <v>0</v>
      </c>
      <c r="L42" s="131">
        <f t="shared" si="1"/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709</v>
      </c>
      <c r="T42" s="131">
        <v>107019</v>
      </c>
      <c r="U42" s="131">
        <f t="shared" si="2"/>
        <v>709</v>
      </c>
      <c r="V42" s="131">
        <f t="shared" si="3"/>
        <v>107019</v>
      </c>
      <c r="W42" s="145">
        <f>'Pri Sec_outstanding_6'!P42</f>
        <v>131981.91999999998</v>
      </c>
      <c r="X42" s="145">
        <f t="shared" si="4"/>
        <v>239000.91999999998</v>
      </c>
      <c r="Y42" s="162">
        <f>'Pri Sec_outstanding_6'!R42</f>
        <v>239001</v>
      </c>
      <c r="Z42" s="145">
        <f t="shared" si="5"/>
        <v>-0.08000000001629815</v>
      </c>
    </row>
    <row r="43" spans="1:26" ht="15" customHeight="1">
      <c r="A43" s="156">
        <v>36</v>
      </c>
      <c r="B43" s="153" t="s">
        <v>255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f t="shared" si="0"/>
        <v>0</v>
      </c>
      <c r="L43" s="131">
        <f t="shared" si="1"/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f t="shared" si="2"/>
        <v>0</v>
      </c>
      <c r="V43" s="131">
        <f t="shared" si="3"/>
        <v>0</v>
      </c>
      <c r="W43" s="145">
        <f>'Pri Sec_outstanding_6'!P43</f>
        <v>41468</v>
      </c>
      <c r="X43" s="145">
        <f t="shared" si="4"/>
        <v>41468</v>
      </c>
      <c r="Y43" s="162">
        <f>'Pri Sec_outstanding_6'!R43</f>
        <v>41468</v>
      </c>
      <c r="Z43" s="145">
        <f t="shared" si="5"/>
        <v>0</v>
      </c>
    </row>
    <row r="44" spans="1:26" ht="15" customHeight="1">
      <c r="A44" s="156">
        <v>37</v>
      </c>
      <c r="B44" s="153" t="s">
        <v>306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f t="shared" si="0"/>
        <v>0</v>
      </c>
      <c r="L44" s="131">
        <f t="shared" si="1"/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f t="shared" si="2"/>
        <v>0</v>
      </c>
      <c r="V44" s="131">
        <f t="shared" si="3"/>
        <v>0</v>
      </c>
      <c r="W44" s="145">
        <f>'Pri Sec_outstanding_6'!P44</f>
        <v>1536</v>
      </c>
      <c r="X44" s="145">
        <f t="shared" si="4"/>
        <v>1536</v>
      </c>
      <c r="Y44" s="162">
        <f>'Pri Sec_outstanding_6'!R44</f>
        <v>1536</v>
      </c>
      <c r="Z44" s="145">
        <f t="shared" si="5"/>
        <v>0</v>
      </c>
    </row>
    <row r="45" spans="1:26" ht="15" customHeight="1">
      <c r="A45" s="156">
        <v>38</v>
      </c>
      <c r="B45" s="153" t="s">
        <v>307</v>
      </c>
      <c r="C45" s="131">
        <v>1400</v>
      </c>
      <c r="D45" s="131">
        <v>2200</v>
      </c>
      <c r="E45" s="131">
        <v>62</v>
      </c>
      <c r="F45" s="131">
        <v>15.6</v>
      </c>
      <c r="G45" s="131">
        <v>59</v>
      </c>
      <c r="H45" s="131">
        <v>32</v>
      </c>
      <c r="I45" s="131">
        <v>0</v>
      </c>
      <c r="J45" s="131">
        <v>0</v>
      </c>
      <c r="K45" s="131">
        <f t="shared" si="0"/>
        <v>121</v>
      </c>
      <c r="L45" s="131">
        <f t="shared" si="1"/>
        <v>47.6</v>
      </c>
      <c r="M45" s="131">
        <v>6</v>
      </c>
      <c r="N45" s="131">
        <v>22</v>
      </c>
      <c r="O45" s="131">
        <v>51</v>
      </c>
      <c r="P45" s="131">
        <v>250</v>
      </c>
      <c r="Q45" s="131">
        <v>0</v>
      </c>
      <c r="R45" s="131">
        <v>0</v>
      </c>
      <c r="S45" s="131">
        <v>38</v>
      </c>
      <c r="T45" s="131">
        <v>6936</v>
      </c>
      <c r="U45" s="131">
        <f t="shared" si="2"/>
        <v>1616</v>
      </c>
      <c r="V45" s="131">
        <f t="shared" si="3"/>
        <v>9455.6</v>
      </c>
      <c r="W45" s="145">
        <f>'Pri Sec_outstanding_6'!P45</f>
        <v>23313</v>
      </c>
      <c r="X45" s="145">
        <f t="shared" si="4"/>
        <v>32768.6</v>
      </c>
      <c r="Y45" s="162">
        <f>'Pri Sec_outstanding_6'!R45</f>
        <v>32769</v>
      </c>
      <c r="Z45" s="145">
        <f t="shared" si="5"/>
        <v>-0.4000000000014552</v>
      </c>
    </row>
    <row r="46" spans="1:26" ht="15" customHeight="1">
      <c r="A46" s="156">
        <v>39</v>
      </c>
      <c r="B46" s="153" t="s">
        <v>95</v>
      </c>
      <c r="C46" s="131">
        <v>0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f t="shared" si="0"/>
        <v>0</v>
      </c>
      <c r="L46" s="131">
        <f t="shared" si="1"/>
        <v>0</v>
      </c>
      <c r="M46" s="131">
        <v>0</v>
      </c>
      <c r="N46" s="131">
        <v>0</v>
      </c>
      <c r="O46" s="131">
        <v>10</v>
      </c>
      <c r="P46" s="131">
        <v>342.22588119999995</v>
      </c>
      <c r="Q46" s="131">
        <v>2</v>
      </c>
      <c r="R46" s="131">
        <v>1.48</v>
      </c>
      <c r="S46" s="131">
        <v>300</v>
      </c>
      <c r="T46" s="131">
        <f>12558.93-124</f>
        <v>12434.93</v>
      </c>
      <c r="U46" s="131">
        <f t="shared" si="2"/>
        <v>312</v>
      </c>
      <c r="V46" s="131">
        <f t="shared" si="3"/>
        <v>12778.6358812</v>
      </c>
      <c r="W46" s="145">
        <f>'Pri Sec_outstanding_6'!P46</f>
        <v>1267.4899999999998</v>
      </c>
      <c r="X46" s="145">
        <f t="shared" si="4"/>
        <v>14046.1258812</v>
      </c>
      <c r="Y46" s="162">
        <f>'Pri Sec_outstanding_6'!R46</f>
        <v>14046</v>
      </c>
      <c r="Z46" s="145">
        <f t="shared" si="5"/>
        <v>0.12588119999963965</v>
      </c>
    </row>
    <row r="47" spans="1:26" ht="15" customHeight="1">
      <c r="A47" s="156">
        <v>40</v>
      </c>
      <c r="B47" s="153" t="s">
        <v>308</v>
      </c>
      <c r="C47" s="131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f t="shared" si="0"/>
        <v>0</v>
      </c>
      <c r="L47" s="131">
        <f t="shared" si="1"/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3633</v>
      </c>
      <c r="T47" s="131">
        <f>62384.4791+450</f>
        <v>62834.4791</v>
      </c>
      <c r="U47" s="131">
        <f t="shared" si="2"/>
        <v>3633</v>
      </c>
      <c r="V47" s="131">
        <f t="shared" si="3"/>
        <v>62834.4791</v>
      </c>
      <c r="W47" s="145">
        <f>'Pri Sec_outstanding_6'!P47</f>
        <v>134735.654</v>
      </c>
      <c r="X47" s="145">
        <f t="shared" si="4"/>
        <v>197570.1331</v>
      </c>
      <c r="Y47" s="162">
        <f>'Pri Sec_outstanding_6'!R47</f>
        <v>197570</v>
      </c>
      <c r="Z47" s="145">
        <f t="shared" si="5"/>
        <v>0.13310000000637956</v>
      </c>
    </row>
    <row r="48" spans="1:26" ht="15" customHeight="1">
      <c r="A48" s="156">
        <v>41</v>
      </c>
      <c r="B48" s="153" t="s">
        <v>309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f t="shared" si="0"/>
        <v>0</v>
      </c>
      <c r="L48" s="131">
        <f t="shared" si="1"/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105</v>
      </c>
      <c r="T48" s="131">
        <f>2698+106</f>
        <v>2804</v>
      </c>
      <c r="U48" s="131">
        <f t="shared" si="2"/>
        <v>105</v>
      </c>
      <c r="V48" s="131">
        <f t="shared" si="3"/>
        <v>2804</v>
      </c>
      <c r="W48" s="145">
        <f>'Pri Sec_outstanding_6'!P48</f>
        <v>937</v>
      </c>
      <c r="X48" s="145">
        <f t="shared" si="4"/>
        <v>3741</v>
      </c>
      <c r="Y48" s="162">
        <f>'Pri Sec_outstanding_6'!R48</f>
        <v>3741</v>
      </c>
      <c r="Z48" s="145">
        <f t="shared" si="5"/>
        <v>0</v>
      </c>
    </row>
    <row r="49" spans="1:26" ht="15" customHeight="1">
      <c r="A49" s="156">
        <v>42</v>
      </c>
      <c r="B49" s="160" t="s">
        <v>310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f t="shared" si="0"/>
        <v>0</v>
      </c>
      <c r="L49" s="131">
        <f t="shared" si="1"/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1">
        <f t="shared" si="2"/>
        <v>0</v>
      </c>
      <c r="V49" s="131">
        <f t="shared" si="3"/>
        <v>0</v>
      </c>
      <c r="W49" s="145">
        <f>'Pri Sec_outstanding_6'!P49</f>
        <v>4775.95</v>
      </c>
      <c r="X49" s="145">
        <f t="shared" si="4"/>
        <v>4775.95</v>
      </c>
      <c r="Y49" s="162">
        <f>'Pri Sec_outstanding_6'!R49</f>
        <v>4776</v>
      </c>
      <c r="Z49" s="145">
        <f t="shared" si="5"/>
        <v>-0.0500000000001819</v>
      </c>
    </row>
    <row r="50" spans="1:26" ht="15" customHeight="1">
      <c r="A50" s="156">
        <v>43</v>
      </c>
      <c r="B50" s="153" t="s">
        <v>311</v>
      </c>
      <c r="C50" s="131">
        <v>139</v>
      </c>
      <c r="D50" s="131">
        <v>629.24279</v>
      </c>
      <c r="E50" s="131">
        <v>1</v>
      </c>
      <c r="F50" s="131">
        <v>32.20353</v>
      </c>
      <c r="G50" s="131">
        <v>3</v>
      </c>
      <c r="H50" s="131">
        <v>151.6495744</v>
      </c>
      <c r="I50" s="131">
        <v>4</v>
      </c>
      <c r="J50" s="131">
        <v>1987.3265567</v>
      </c>
      <c r="K50" s="131">
        <f t="shared" si="0"/>
        <v>8</v>
      </c>
      <c r="L50" s="131">
        <f t="shared" si="1"/>
        <v>2171.1796611</v>
      </c>
      <c r="M50" s="131">
        <v>0</v>
      </c>
      <c r="N50" s="131">
        <v>0</v>
      </c>
      <c r="O50" s="131">
        <v>1</v>
      </c>
      <c r="P50" s="131">
        <v>38.32547</v>
      </c>
      <c r="Q50" s="131">
        <v>8</v>
      </c>
      <c r="R50" s="131">
        <v>19.66875</v>
      </c>
      <c r="S50" s="131">
        <v>35</v>
      </c>
      <c r="T50" s="131">
        <v>26369.0983275</v>
      </c>
      <c r="U50" s="131">
        <f t="shared" si="2"/>
        <v>191</v>
      </c>
      <c r="V50" s="131">
        <f t="shared" si="3"/>
        <v>29227.5149986</v>
      </c>
      <c r="W50" s="145">
        <f>'Pri Sec_outstanding_6'!P50</f>
        <v>49145.5543655596</v>
      </c>
      <c r="X50" s="145">
        <f t="shared" si="4"/>
        <v>78373.0693641596</v>
      </c>
      <c r="Y50" s="162">
        <f>'Pri Sec_outstanding_6'!R50</f>
        <v>78373.0693641596</v>
      </c>
      <c r="Z50" s="145">
        <f t="shared" si="5"/>
        <v>0</v>
      </c>
    </row>
    <row r="51" spans="1:26" ht="15" customHeight="1">
      <c r="A51" s="156">
        <v>44</v>
      </c>
      <c r="B51" s="153" t="s">
        <v>78</v>
      </c>
      <c r="C51" s="131"/>
      <c r="D51" s="131"/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f t="shared" si="0"/>
        <v>0</v>
      </c>
      <c r="L51" s="131">
        <f t="shared" si="1"/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S51" s="131">
        <v>113</v>
      </c>
      <c r="T51" s="131">
        <f>345.18+10284</f>
        <v>10629.18</v>
      </c>
      <c r="U51" s="131">
        <f t="shared" si="2"/>
        <v>113</v>
      </c>
      <c r="V51" s="131">
        <f t="shared" si="3"/>
        <v>10629.18</v>
      </c>
      <c r="W51" s="145">
        <f>'Pri Sec_outstanding_6'!P51</f>
        <v>68470.41</v>
      </c>
      <c r="X51" s="145">
        <f t="shared" si="4"/>
        <v>79099.59</v>
      </c>
      <c r="Y51" s="162">
        <f>'Pri Sec_outstanding_6'!R51</f>
        <v>79100</v>
      </c>
      <c r="Z51" s="145">
        <f t="shared" si="5"/>
        <v>-0.41000000000349246</v>
      </c>
    </row>
    <row r="52" spans="1:26" s="146" customFormat="1" ht="15" customHeight="1">
      <c r="A52" s="138"/>
      <c r="B52" s="158" t="s">
        <v>274</v>
      </c>
      <c r="C52" s="138">
        <f>SUM(C35:C51)</f>
        <v>1539</v>
      </c>
      <c r="D52" s="138">
        <f aca="true" t="shared" si="8" ref="D52:V52">SUM(D35:D51)</f>
        <v>2829.2427900000002</v>
      </c>
      <c r="E52" s="138">
        <f t="shared" si="8"/>
        <v>2037</v>
      </c>
      <c r="F52" s="138">
        <f t="shared" si="8"/>
        <v>4469.9996894000005</v>
      </c>
      <c r="G52" s="138">
        <f t="shared" si="8"/>
        <v>95</v>
      </c>
      <c r="H52" s="138">
        <f t="shared" si="8"/>
        <v>4148.1895744</v>
      </c>
      <c r="I52" s="138">
        <f t="shared" si="8"/>
        <v>89</v>
      </c>
      <c r="J52" s="138">
        <f t="shared" si="8"/>
        <v>16287.836556699998</v>
      </c>
      <c r="K52" s="138">
        <f t="shared" si="0"/>
        <v>2221</v>
      </c>
      <c r="L52" s="138">
        <f t="shared" si="1"/>
        <v>24906.0258205</v>
      </c>
      <c r="M52" s="138">
        <f t="shared" si="8"/>
        <v>26</v>
      </c>
      <c r="N52" s="138">
        <f t="shared" si="8"/>
        <v>246.18549</v>
      </c>
      <c r="O52" s="138">
        <f t="shared" si="8"/>
        <v>6484</v>
      </c>
      <c r="P52" s="138">
        <f t="shared" si="8"/>
        <v>156415.422463</v>
      </c>
      <c r="Q52" s="138">
        <f t="shared" si="8"/>
        <v>34660</v>
      </c>
      <c r="R52" s="138">
        <f t="shared" si="8"/>
        <v>98611.89875</v>
      </c>
      <c r="S52" s="138">
        <f t="shared" si="8"/>
        <v>246973</v>
      </c>
      <c r="T52" s="138">
        <f t="shared" si="8"/>
        <v>903860.944341</v>
      </c>
      <c r="U52" s="138">
        <f t="shared" si="8"/>
        <v>291903</v>
      </c>
      <c r="V52" s="138">
        <f t="shared" si="8"/>
        <v>1186869.7196544998</v>
      </c>
      <c r="W52" s="146">
        <f>'Pri Sec_outstanding_6'!P52</f>
        <v>2300361.54714546</v>
      </c>
      <c r="X52" s="146">
        <f t="shared" si="4"/>
        <v>3487231.2667999594</v>
      </c>
      <c r="Y52" s="164">
        <f>'Pri Sec_outstanding_6'!R52</f>
        <v>3487231.3883641595</v>
      </c>
      <c r="Z52" s="146">
        <f t="shared" si="5"/>
        <v>-0.12156420014798641</v>
      </c>
    </row>
    <row r="53" spans="1:26" ht="15" customHeight="1">
      <c r="A53" s="156">
        <v>45</v>
      </c>
      <c r="B53" s="153" t="s">
        <v>48</v>
      </c>
      <c r="C53" s="131">
        <v>0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f t="shared" si="0"/>
        <v>0</v>
      </c>
      <c r="L53" s="131">
        <f t="shared" si="1"/>
        <v>0</v>
      </c>
      <c r="M53" s="131">
        <v>0</v>
      </c>
      <c r="N53" s="131">
        <v>0</v>
      </c>
      <c r="O53" s="131">
        <v>177</v>
      </c>
      <c r="P53" s="131">
        <v>2041</v>
      </c>
      <c r="Q53" s="131">
        <v>11882</v>
      </c>
      <c r="R53" s="131">
        <v>9462</v>
      </c>
      <c r="S53" s="131">
        <v>19739</v>
      </c>
      <c r="T53" s="131">
        <f>34685</f>
        <v>34685</v>
      </c>
      <c r="U53" s="131">
        <f t="shared" si="2"/>
        <v>31798</v>
      </c>
      <c r="V53" s="131">
        <f t="shared" si="3"/>
        <v>46188</v>
      </c>
      <c r="W53" s="145">
        <f>'Pri Sec_outstanding_6'!P53</f>
        <v>335127</v>
      </c>
      <c r="X53" s="145">
        <f>V53+W53</f>
        <v>381315</v>
      </c>
      <c r="Y53" s="162">
        <f>'Pri Sec_outstanding_6'!R53</f>
        <v>381315</v>
      </c>
      <c r="Z53" s="145">
        <f t="shared" si="5"/>
        <v>0</v>
      </c>
    </row>
    <row r="54" spans="1:26" ht="15" customHeight="1">
      <c r="A54" s="156">
        <v>46</v>
      </c>
      <c r="B54" s="153" t="s">
        <v>269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f t="shared" si="0"/>
        <v>0</v>
      </c>
      <c r="L54" s="131">
        <f t="shared" si="1"/>
        <v>0</v>
      </c>
      <c r="M54" s="131">
        <v>0</v>
      </c>
      <c r="N54" s="131">
        <v>0</v>
      </c>
      <c r="O54" s="131">
        <v>5</v>
      </c>
      <c r="P54" s="131">
        <v>118</v>
      </c>
      <c r="Q54" s="131">
        <v>0</v>
      </c>
      <c r="R54" s="131">
        <v>0</v>
      </c>
      <c r="S54" s="131">
        <v>23222</v>
      </c>
      <c r="T54" s="131">
        <v>19091</v>
      </c>
      <c r="U54" s="131">
        <f t="shared" si="2"/>
        <v>23227</v>
      </c>
      <c r="V54" s="131">
        <f t="shared" si="3"/>
        <v>19209</v>
      </c>
      <c r="W54" s="145">
        <f>'Pri Sec_outstanding_6'!P54</f>
        <v>238467</v>
      </c>
      <c r="X54" s="145">
        <f t="shared" si="4"/>
        <v>257676</v>
      </c>
      <c r="Y54" s="162">
        <f>'Pri Sec_outstanding_6'!R54</f>
        <v>257676</v>
      </c>
      <c r="Z54" s="145">
        <f t="shared" si="5"/>
        <v>0</v>
      </c>
    </row>
    <row r="55" spans="1:26" ht="15" customHeight="1">
      <c r="A55" s="156">
        <v>47</v>
      </c>
      <c r="B55" s="153" t="s">
        <v>54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f t="shared" si="0"/>
        <v>0</v>
      </c>
      <c r="L55" s="131">
        <f t="shared" si="1"/>
        <v>0</v>
      </c>
      <c r="M55" s="131">
        <v>0</v>
      </c>
      <c r="N55" s="131">
        <v>0</v>
      </c>
      <c r="O55" s="131">
        <v>955</v>
      </c>
      <c r="P55" s="131">
        <v>952.54</v>
      </c>
      <c r="Q55" s="131">
        <v>2372</v>
      </c>
      <c r="R55" s="131">
        <v>1203.04</v>
      </c>
      <c r="S55" s="131">
        <v>20433</v>
      </c>
      <c r="T55" s="131">
        <v>38241.82</v>
      </c>
      <c r="U55" s="131">
        <f t="shared" si="2"/>
        <v>23760</v>
      </c>
      <c r="V55" s="131">
        <f t="shared" si="3"/>
        <v>40397.4</v>
      </c>
      <c r="W55" s="145">
        <f>'Pri Sec_outstanding_6'!P55</f>
        <v>391150.06</v>
      </c>
      <c r="X55" s="145">
        <f t="shared" si="4"/>
        <v>431547.46</v>
      </c>
      <c r="Y55" s="162">
        <f>'Pri Sec_outstanding_6'!R55</f>
        <v>431547.25042411</v>
      </c>
      <c r="Z55" s="145">
        <f t="shared" si="5"/>
        <v>0.20957589003955945</v>
      </c>
    </row>
    <row r="56" spans="1:26" s="146" customFormat="1" ht="15" customHeight="1">
      <c r="A56" s="138"/>
      <c r="B56" s="158" t="s">
        <v>270</v>
      </c>
      <c r="C56" s="138">
        <f>SUM(C53:C55)</f>
        <v>0</v>
      </c>
      <c r="D56" s="138">
        <f aca="true" t="shared" si="9" ref="D56:V56">SUM(D53:D55)</f>
        <v>0</v>
      </c>
      <c r="E56" s="138">
        <f t="shared" si="9"/>
        <v>0</v>
      </c>
      <c r="F56" s="138">
        <f t="shared" si="9"/>
        <v>0</v>
      </c>
      <c r="G56" s="138">
        <f t="shared" si="9"/>
        <v>0</v>
      </c>
      <c r="H56" s="138">
        <f t="shared" si="9"/>
        <v>0</v>
      </c>
      <c r="I56" s="138">
        <f t="shared" si="9"/>
        <v>0</v>
      </c>
      <c r="J56" s="138">
        <f t="shared" si="9"/>
        <v>0</v>
      </c>
      <c r="K56" s="138">
        <f t="shared" si="0"/>
        <v>0</v>
      </c>
      <c r="L56" s="138">
        <f t="shared" si="1"/>
        <v>0</v>
      </c>
      <c r="M56" s="138">
        <f t="shared" si="9"/>
        <v>0</v>
      </c>
      <c r="N56" s="138">
        <f t="shared" si="9"/>
        <v>0</v>
      </c>
      <c r="O56" s="138">
        <f t="shared" si="9"/>
        <v>1137</v>
      </c>
      <c r="P56" s="138">
        <f t="shared" si="9"/>
        <v>3111.54</v>
      </c>
      <c r="Q56" s="138">
        <f t="shared" si="9"/>
        <v>14254</v>
      </c>
      <c r="R56" s="138">
        <f t="shared" si="9"/>
        <v>10665.04</v>
      </c>
      <c r="S56" s="138">
        <f t="shared" si="9"/>
        <v>63394</v>
      </c>
      <c r="T56" s="138">
        <f t="shared" si="9"/>
        <v>92017.82</v>
      </c>
      <c r="U56" s="138">
        <f t="shared" si="9"/>
        <v>78785</v>
      </c>
      <c r="V56" s="138">
        <f t="shared" si="9"/>
        <v>105794.4</v>
      </c>
      <c r="W56" s="146">
        <f>'Pri Sec_outstanding_6'!P56</f>
        <v>964744.06</v>
      </c>
      <c r="X56" s="146">
        <f t="shared" si="4"/>
        <v>1070538.46</v>
      </c>
      <c r="Y56" s="164">
        <f>'Pri Sec_outstanding_6'!R56</f>
        <v>1070538.2504241099</v>
      </c>
      <c r="Z56" s="146">
        <f t="shared" si="5"/>
        <v>0.20957589009776711</v>
      </c>
    </row>
    <row r="57" spans="1:26" ht="15" customHeight="1">
      <c r="A57" s="156">
        <v>48</v>
      </c>
      <c r="B57" s="153" t="s">
        <v>312</v>
      </c>
      <c r="C57" s="131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f t="shared" si="0"/>
        <v>0</v>
      </c>
      <c r="L57" s="131">
        <f t="shared" si="1"/>
        <v>0</v>
      </c>
      <c r="M57" s="131">
        <v>0</v>
      </c>
      <c r="N57" s="131">
        <v>0</v>
      </c>
      <c r="O57" s="131">
        <v>0</v>
      </c>
      <c r="P57" s="131">
        <v>0</v>
      </c>
      <c r="Q57" s="131">
        <v>0</v>
      </c>
      <c r="R57" s="131">
        <v>0</v>
      </c>
      <c r="S57" s="131">
        <v>0</v>
      </c>
      <c r="T57" s="131">
        <v>0</v>
      </c>
      <c r="U57" s="131">
        <f t="shared" si="2"/>
        <v>0</v>
      </c>
      <c r="V57" s="131">
        <f t="shared" si="3"/>
        <v>0</v>
      </c>
      <c r="W57" s="145">
        <f>'Pri Sec_outstanding_6'!P57</f>
        <v>1141298</v>
      </c>
      <c r="X57" s="145">
        <f t="shared" si="4"/>
        <v>1141298</v>
      </c>
      <c r="Y57" s="162">
        <f>'Pri Sec_outstanding_6'!R57</f>
        <v>1141298</v>
      </c>
      <c r="Z57" s="145">
        <f t="shared" si="5"/>
        <v>0</v>
      </c>
    </row>
    <row r="58" spans="1:26" s="146" customFormat="1" ht="15" customHeight="1">
      <c r="A58" s="138"/>
      <c r="B58" s="158" t="s">
        <v>275</v>
      </c>
      <c r="C58" s="138">
        <f>C57</f>
        <v>0</v>
      </c>
      <c r="D58" s="138">
        <f aca="true" t="shared" si="10" ref="D58:V58">D57</f>
        <v>0</v>
      </c>
      <c r="E58" s="138">
        <f t="shared" si="10"/>
        <v>0</v>
      </c>
      <c r="F58" s="138">
        <f t="shared" si="10"/>
        <v>0</v>
      </c>
      <c r="G58" s="138">
        <f t="shared" si="10"/>
        <v>0</v>
      </c>
      <c r="H58" s="138">
        <f t="shared" si="10"/>
        <v>0</v>
      </c>
      <c r="I58" s="138">
        <f t="shared" si="10"/>
        <v>0</v>
      </c>
      <c r="J58" s="138">
        <f t="shared" si="10"/>
        <v>0</v>
      </c>
      <c r="K58" s="138">
        <f t="shared" si="0"/>
        <v>0</v>
      </c>
      <c r="L58" s="138">
        <f t="shared" si="1"/>
        <v>0</v>
      </c>
      <c r="M58" s="138">
        <f t="shared" si="10"/>
        <v>0</v>
      </c>
      <c r="N58" s="138">
        <f t="shared" si="10"/>
        <v>0</v>
      </c>
      <c r="O58" s="138">
        <f t="shared" si="10"/>
        <v>0</v>
      </c>
      <c r="P58" s="138">
        <f t="shared" si="10"/>
        <v>0</v>
      </c>
      <c r="Q58" s="138">
        <f t="shared" si="10"/>
        <v>0</v>
      </c>
      <c r="R58" s="138">
        <f t="shared" si="10"/>
        <v>0</v>
      </c>
      <c r="S58" s="138">
        <f t="shared" si="10"/>
        <v>0</v>
      </c>
      <c r="T58" s="138">
        <f t="shared" si="10"/>
        <v>0</v>
      </c>
      <c r="U58" s="138">
        <f t="shared" si="10"/>
        <v>0</v>
      </c>
      <c r="V58" s="138">
        <f t="shared" si="10"/>
        <v>0</v>
      </c>
      <c r="W58" s="146">
        <f>'Pri Sec_outstanding_6'!P58</f>
        <v>1141298</v>
      </c>
      <c r="X58" s="146">
        <f t="shared" si="4"/>
        <v>1141298</v>
      </c>
      <c r="Y58" s="164">
        <f>'Pri Sec_outstanding_6'!R58</f>
        <v>1141298</v>
      </c>
      <c r="Z58" s="146">
        <f t="shared" si="5"/>
        <v>0</v>
      </c>
    </row>
    <row r="59" spans="1:26" s="146" customFormat="1" ht="15" customHeight="1">
      <c r="A59" s="138"/>
      <c r="B59" s="158" t="s">
        <v>276</v>
      </c>
      <c r="C59" s="138">
        <f>C58+C56+C52+C34+C27</f>
        <v>18275</v>
      </c>
      <c r="D59" s="138">
        <f aca="true" t="shared" si="11" ref="D59:V59">D58+D56+D52+D34+D27</f>
        <v>149724.87279</v>
      </c>
      <c r="E59" s="138">
        <f t="shared" si="11"/>
        <v>3080</v>
      </c>
      <c r="F59" s="138">
        <f t="shared" si="11"/>
        <v>81472.81968940001</v>
      </c>
      <c r="G59" s="138">
        <f t="shared" si="11"/>
        <v>398</v>
      </c>
      <c r="H59" s="138">
        <f t="shared" si="11"/>
        <v>215665.6295744</v>
      </c>
      <c r="I59" s="138">
        <f t="shared" si="11"/>
        <v>437</v>
      </c>
      <c r="J59" s="138">
        <f t="shared" si="11"/>
        <v>283332.5479371</v>
      </c>
      <c r="K59" s="138">
        <f t="shared" si="0"/>
        <v>3915</v>
      </c>
      <c r="L59" s="138">
        <f t="shared" si="1"/>
        <v>580470.9972009</v>
      </c>
      <c r="M59" s="138">
        <f t="shared" si="11"/>
        <v>15783</v>
      </c>
      <c r="N59" s="138">
        <f t="shared" si="11"/>
        <v>31496.17549</v>
      </c>
      <c r="O59" s="138">
        <f t="shared" si="11"/>
        <v>84801</v>
      </c>
      <c r="P59" s="138">
        <f t="shared" si="11"/>
        <v>617265.482463</v>
      </c>
      <c r="Q59" s="138">
        <f t="shared" si="11"/>
        <v>829940</v>
      </c>
      <c r="R59" s="138">
        <f t="shared" si="11"/>
        <v>1042078.95875</v>
      </c>
      <c r="S59" s="138">
        <f t="shared" si="11"/>
        <v>392245</v>
      </c>
      <c r="T59" s="138">
        <f t="shared" si="11"/>
        <v>4481169.434341</v>
      </c>
      <c r="U59" s="138">
        <f t="shared" si="11"/>
        <v>1344959</v>
      </c>
      <c r="V59" s="138">
        <f t="shared" si="11"/>
        <v>6902205.921034899</v>
      </c>
      <c r="W59" s="146">
        <f>'Pri Sec_outstanding_6'!P59</f>
        <v>13980045.87377756</v>
      </c>
      <c r="X59" s="146">
        <f t="shared" si="4"/>
        <v>20882251.79481246</v>
      </c>
      <c r="Y59" s="164">
        <f>'Pri Sec_outstanding_6'!R59</f>
        <v>20893425.888788268</v>
      </c>
      <c r="Z59" s="146">
        <f t="shared" si="5"/>
        <v>-11174.093975808471</v>
      </c>
    </row>
  </sheetData>
  <sheetProtection/>
  <mergeCells count="15">
    <mergeCell ref="U3:V4"/>
    <mergeCell ref="E4:F4"/>
    <mergeCell ref="G4:H4"/>
    <mergeCell ref="I4:J4"/>
    <mergeCell ref="K4:L4"/>
    <mergeCell ref="A1:V1"/>
    <mergeCell ref="A2:A5"/>
    <mergeCell ref="B2:B5"/>
    <mergeCell ref="C2:V2"/>
    <mergeCell ref="C3:D4"/>
    <mergeCell ref="E3:L3"/>
    <mergeCell ref="M3:N4"/>
    <mergeCell ref="O3:P4"/>
    <mergeCell ref="Q3:R4"/>
    <mergeCell ref="S3:T4"/>
  </mergeCells>
  <conditionalFormatting sqref="B6">
    <cfRule type="duplicateValues" priority="1" dxfId="197">
      <formula>AND(COUNTIF($B$6:$B$6,B6)&gt;1,NOT(ISBLANK(B6)))</formula>
    </cfRule>
  </conditionalFormatting>
  <conditionalFormatting sqref="B22">
    <cfRule type="duplicateValues" priority="2" dxfId="197">
      <formula>AND(COUNTIF($B$22:$B$22,B22)&gt;1,NOT(ISBLANK(B22)))</formula>
    </cfRule>
  </conditionalFormatting>
  <conditionalFormatting sqref="B33:B34 B26:B30">
    <cfRule type="duplicateValues" priority="3" dxfId="197">
      <formula>AND(COUNTIF($B$33:$B$34,B26)+COUNTIF($B$26:$B$30,B26)&gt;1,NOT(ISBLANK(B26)))</formula>
    </cfRule>
  </conditionalFormatting>
  <conditionalFormatting sqref="B52">
    <cfRule type="duplicateValues" priority="4" dxfId="197">
      <formula>AND(COUNTIF($B$52:$B$52,B52)&gt;1,NOT(ISBLANK(B52)))</formula>
    </cfRule>
  </conditionalFormatting>
  <conditionalFormatting sqref="B56">
    <cfRule type="duplicateValues" priority="5" dxfId="197">
      <formula>AND(COUNTIF($B$56:$B$56,B56)&gt;1,NOT(ISBLANK(B56)))</formula>
    </cfRule>
  </conditionalFormatting>
  <conditionalFormatting sqref="B58">
    <cfRule type="duplicateValues" priority="6" dxfId="197">
      <formula>AND(COUNTIF($B$58:$B$58,B58)&gt;1,NOT(ISBLANK(B58)))</formula>
    </cfRule>
  </conditionalFormatting>
  <printOptions/>
  <pageMargins left="0.7" right="0.7" top="0.75" bottom="0.75" header="0.3" footer="0.3"/>
  <pageSetup horizontalDpi="600" verticalDpi="600" orientation="landscape" paperSize="9" scale="68" r:id="rId1"/>
  <rowBreaks count="1" manualBreakCount="1">
    <brk id="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2015-10-29T06:25:08Z</dcterms:created>
  <dcterms:modified xsi:type="dcterms:W3CDTF">2016-08-09T10:43:06Z</dcterms:modified>
  <cp:category/>
  <cp:version/>
  <cp:contentType/>
  <cp:contentStatus/>
</cp:coreProperties>
</file>